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comments61.xml" ContentType="application/vnd.openxmlformats-officedocument.spreadsheetml.comments+xml"/>
  <Override PartName="/xl/drawings/drawing1.xml" ContentType="application/vnd.openxmlformats-officedocument.drawing+xml"/>
  <Override PartName="/xl/comments62.xml" ContentType="application/vnd.openxmlformats-officedocument.spreadsheetml.comments+xml"/>
  <Override PartName="/xl/comments63.xml" ContentType="application/vnd.openxmlformats-officedocument.spreadsheetml.comments+xml"/>
  <Override PartName="/xl/comments64.xml" ContentType="application/vnd.openxmlformats-officedocument.spreadsheetml.comments+xml"/>
  <Override PartName="/xl/comments65.xml" ContentType="application/vnd.openxmlformats-officedocument.spreadsheetml.comments+xml"/>
  <Override PartName="/xl/comments66.xml" ContentType="application/vnd.openxmlformats-officedocument.spreadsheetml.comments+xml"/>
  <Override PartName="/xl/comments67.xml" ContentType="application/vnd.openxmlformats-officedocument.spreadsheetml.comments+xml"/>
  <Override PartName="/xl/comments6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Projects\Daily Support\AnalystLinkage FIles\"/>
    </mc:Choice>
  </mc:AlternateContent>
  <xr:revisionPtr revIDLastSave="0" documentId="8_{9DCC4134-49EA-47EC-9088-E44F6684745A}" xr6:coauthVersionLast="47" xr6:coauthVersionMax="47" xr10:uidLastSave="{00000000-0000-0000-0000-000000000000}"/>
  <bookViews>
    <workbookView xWindow="-108" yWindow="-108" windowWidth="23256" windowHeight="12576" tabRatio="845" activeTab="2" xr2:uid="{00000000-000D-0000-FFFF-FFFF00000000}"/>
  </bookViews>
  <sheets>
    <sheet name="Sheet 1" sheetId="1" r:id="rId1"/>
    <sheet name="Wand Intermediate" sheetId="2" r:id="rId2"/>
    <sheet name="Airxcel, Inc." sheetId="107" r:id="rId3"/>
    <sheet name="American Axle" sheetId="8" r:id="rId4"/>
    <sheet name="American Tire Distributors" sheetId="9" r:id="rId5"/>
    <sheet name="Astoria Energy" sheetId="13" r:id="rId6"/>
    <sheet name="Avolon" sheetId="15" r:id="rId7"/>
    <sheet name="Brand Energy" sheetId="19" r:id="rId8"/>
    <sheet name="Columbus Mckinnon" sheetId="25" r:id="rId9"/>
    <sheet name="Calpine Corp" sheetId="20" r:id="rId10"/>
    <sheet name="CPM Acquisition" sheetId="26" r:id="rId11"/>
    <sheet name="Crosby" sheetId="27" r:id="rId12"/>
    <sheet name="Culligan" sheetId="28" r:id="rId13"/>
    <sheet name="Dayton Power &amp; Light" sheetId="29" r:id="rId14"/>
    <sheet name="DXP Enterprises" sheetId="34" r:id="rId15"/>
    <sheet name="EOC Group" sheetId="102" r:id="rId16"/>
    <sheet name="Evoqua" sheetId="42" r:id="rId17"/>
    <sheet name="ExGen Renewables" sheetId="94" r:id="rId18"/>
    <sheet name="Federal-Mogul Corporation" sheetId="43" r:id="rId19"/>
    <sheet name="Filtration Group" sheetId="103" r:id="rId20"/>
    <sheet name="GFL Environmental" sheetId="45" r:id="rId21"/>
    <sheet name="GrafTech" sheetId="95" r:id="rId22"/>
    <sheet name="Gulf Finance" sheetId="47" r:id="rId23"/>
    <sheet name="Harsco" sheetId="48" r:id="rId24"/>
    <sheet name="HD Supply Waterworks" sheetId="49" r:id="rId25"/>
    <sheet name="Janus International" sheetId="96" r:id="rId26"/>
    <sheet name="K&amp;N Engineering" sheetId="54" r:id="rId27"/>
    <sheet name="KCA Deutag US Finance" sheetId="55" r:id="rId28"/>
    <sheet name="Lightstone Generation" sheetId="58" r:id="rId29"/>
    <sheet name="Linden Cogeneration" sheetId="57" r:id="rId30"/>
    <sheet name="Pike Corporation" sheetId="3" r:id="rId31"/>
    <sheet name="Power Buyer" sheetId="63" r:id="rId32"/>
    <sheet name="Quality Distribution" sheetId="65" r:id="rId33"/>
    <sheet name="Service King" sheetId="68" r:id="rId34"/>
    <sheet name="Southeast PowerGen" sheetId="69" r:id="rId35"/>
    <sheet name="TPF II Power" sheetId="72" r:id="rId36"/>
    <sheet name="TRC Companies" sheetId="73" r:id="rId37"/>
    <sheet name="United Site Services (USS)" sheetId="76" r:id="rId38"/>
    <sheet name="Vencore" sheetId="78" r:id="rId39"/>
    <sheet name="Vistra Energy" sheetId="80" r:id="rId40"/>
    <sheet name="Wheelabrator" sheetId="81" r:id="rId41"/>
    <sheet name="WireCo WorldGroup" sheetId="82" r:id="rId42"/>
    <sheet name="XPO Logistics" sheetId="83" r:id="rId43"/>
    <sheet name="Waste Industries" sheetId="84" r:id="rId44"/>
    <sheet name="MB Aerospace" sheetId="97" r:id="rId45"/>
    <sheet name="NRG Energy" sheetId="106" r:id="rId46"/>
    <sheet name="PSC Hydrochem" sheetId="89" r:id="rId47"/>
    <sheet name="Safe Fleet" sheetId="98" r:id="rId48"/>
    <sheet name="Aleris International" sheetId="112" r:id="rId49"/>
    <sheet name="BBB Industries" sheetId="113" r:id="rId50"/>
    <sheet name="Electrical Components" sheetId="114" r:id="rId51"/>
    <sheet name="Hunterstown" sheetId="108" r:id="rId52"/>
    <sheet name="Shape Technologies" sheetId="105" r:id="rId53"/>
    <sheet name="TI Group Auto" sheetId="101" r:id="rId54"/>
    <sheet name="Wastequip" sheetId="111" r:id="rId55"/>
    <sheet name="Boyd Corporation" sheetId="116" r:id="rId56"/>
    <sheet name="Westinghouse" sheetId="118" r:id="rId57"/>
    <sheet name="Tenneco" sheetId="119" r:id="rId58"/>
    <sheet name="PQ Corporation" sheetId="64" r:id="rId59"/>
    <sheet name="Atotech" sheetId="14" r:id="rId60"/>
    <sheet name="Accudyne Industries" sheetId="4" r:id="rId61"/>
    <sheet name="Casella Waste" sheetId="22" r:id="rId62"/>
    <sheet name="Dealer Tire" sheetId="31" r:id="rId63"/>
    <sheet name="Dixie Electric" sheetId="32" r:id="rId64"/>
    <sheet name="Doncasters" sheetId="33" r:id="rId65"/>
    <sheet name="Allison Transmission" sheetId="6" r:id="rId66"/>
    <sheet name="Aclara Technologies" sheetId="5" r:id="rId67"/>
    <sheet name="Birch Communications" sheetId="17" r:id="rId68"/>
    <sheet name="Huntsman International LLC" sheetId="50" r:id="rId69"/>
    <sheet name="Jeld-Wen" sheetId="53" r:id="rId70"/>
    <sheet name="Talen Energy" sheetId="70" r:id="rId71"/>
    <sheet name="Tekni-Plex" sheetId="71" r:id="rId72"/>
    <sheet name="Kymera International" sheetId="120" r:id="rId73"/>
    <sheet name="Husky International" sheetId="121" r:id="rId74"/>
    <sheet name="Garrett Advancing Motion" sheetId="122" r:id="rId75"/>
    <sheet name="Altra Industrial Motion" sheetId="123" r:id="rId76"/>
    <sheet name="United Rentals" sheetId="125" r:id="rId77"/>
    <sheet name="Distributed Power (GE)" sheetId="126" r:id="rId78"/>
    <sheet name="Plastipak" sheetId="127" r:id="rId79"/>
    <sheet name="C&amp;D Technologies" sheetId="128" r:id="rId80"/>
    <sheet name="StandardAero" sheetId="129" r:id="rId81"/>
    <sheet name="Caliber Collision" sheetId="130" r:id="rId82"/>
    <sheet name="Vantage Specialties" sheetId="131" r:id="rId83"/>
    <sheet name="Power Solutions" sheetId="132" r:id="rId84"/>
    <sheet name="Sundyne" sheetId="133" r:id="rId85"/>
    <sheet name="Blackstone CQP Holdco" sheetId="134" r:id="rId86"/>
    <sheet name="WestJet" sheetId="135" r:id="rId87"/>
    <sheet name="Advanced Drainage Systems" sheetId="136" r:id="rId88"/>
    <sheet name="APi Group" sheetId="137" r:id="rId89"/>
    <sheet name="Genesee &amp; Wyoming" sheetId="138" r:id="rId90"/>
    <sheet name="Cobham" sheetId="139" r:id="rId91"/>
    <sheet name="Thyssenkrupp Elevator" sheetId="140" r:id="rId92"/>
    <sheet name="Asplundh" sheetId="141" r:id="rId93"/>
    <sheet name="White Cap" sheetId="142" r:id="rId94"/>
    <sheet name="US LBM" sheetId="143" r:id="rId95"/>
    <sheet name="Truck Hero" sheetId="144" r:id="rId96"/>
    <sheet name="Protective Industrial Products" sheetId="145" r:id="rId97"/>
    <sheet name="Foundation Building Materials" sheetId="146" r:id="rId98"/>
    <sheet name="Flow Control Group" sheetId="147" r:id="rId99"/>
    <sheet name="First Brands Group" sheetId="148" r:id="rId100"/>
    <sheet name="Signature Aviation" sheetId="149" r:id="rId101"/>
    <sheet name="LaserShip Holdings, Inc." sheetId="150" r:id="rId102"/>
    <sheet name="Cabinetworks" sheetId="85" r:id="rId103"/>
    <sheet name="Sabre Industries" sheetId="152" r:id="rId104"/>
    <sheet name="Fairbanks Morse Defense" sheetId="153" r:id="rId105"/>
    <sheet name="Atlantic Aviation" sheetId="154" r:id="rId106"/>
    <sheet name="Standard Industries" sheetId="155" r:id="rId107"/>
    <sheet name="&lt;Issuer Name&gt; (2)" sheetId="151" r:id="rId108"/>
  </sheets>
  <definedNames>
    <definedName name="_xlnm._FilterDatabase" localSheetId="0" hidden="1">'Sheet 1'!$A$2:$Q$118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1" i="155" l="1"/>
  <c r="I55" i="155"/>
  <c r="H55" i="155"/>
  <c r="G55" i="155"/>
  <c r="B55" i="155"/>
  <c r="I37" i="155"/>
  <c r="H37" i="155"/>
  <c r="G37" i="155"/>
  <c r="F37" i="155"/>
  <c r="E37" i="155"/>
  <c r="D37" i="155"/>
  <c r="C37" i="155"/>
  <c r="B37" i="155"/>
  <c r="I29" i="155"/>
  <c r="E29" i="155"/>
  <c r="I22" i="155"/>
  <c r="H22" i="155"/>
  <c r="H29" i="155" s="1"/>
  <c r="G22" i="155"/>
  <c r="G29" i="155" s="1"/>
  <c r="F22" i="155"/>
  <c r="F24" i="155" s="1"/>
  <c r="F27" i="155" s="1"/>
  <c r="E22" i="155"/>
  <c r="E24" i="155" s="1"/>
  <c r="E27" i="155" s="1"/>
  <c r="D22" i="155"/>
  <c r="D29" i="155" s="1"/>
  <c r="C22" i="155"/>
  <c r="C24" i="155" s="1"/>
  <c r="C27" i="155" s="1"/>
  <c r="B22" i="155"/>
  <c r="B29" i="155" s="1"/>
  <c r="I17" i="155"/>
  <c r="H17" i="155"/>
  <c r="G17" i="155"/>
  <c r="F17" i="155"/>
  <c r="E17" i="155"/>
  <c r="D17" i="155"/>
  <c r="C17" i="155"/>
  <c r="B17" i="155"/>
  <c r="E13" i="155"/>
  <c r="D13" i="155"/>
  <c r="C13" i="155"/>
  <c r="B13" i="155"/>
  <c r="C10" i="155"/>
  <c r="D10" i="155" s="1"/>
  <c r="E10" i="155" s="1"/>
  <c r="F10" i="155" s="1"/>
  <c r="G10" i="155" s="1"/>
  <c r="H10" i="155" s="1"/>
  <c r="I10" i="155" s="1"/>
  <c r="B34" i="116"/>
  <c r="B37" i="116"/>
  <c r="I102" i="1"/>
  <c r="C102" i="1"/>
  <c r="E102" i="1"/>
  <c r="F102" i="1"/>
  <c r="O102" i="1"/>
  <c r="J102" i="1"/>
  <c r="B53" i="155" l="1"/>
  <c r="F29" i="155"/>
  <c r="B24" i="155"/>
  <c r="B27" i="155" s="1"/>
  <c r="D24" i="155"/>
  <c r="D27" i="155" s="1"/>
  <c r="C29" i="155"/>
  <c r="B55" i="116"/>
  <c r="B48" i="116"/>
  <c r="B53" i="116" s="1"/>
  <c r="B47" i="116"/>
  <c r="B52" i="116" s="1"/>
  <c r="B29" i="116"/>
  <c r="B27" i="116"/>
  <c r="B26" i="116"/>
  <c r="B40" i="116"/>
  <c r="B42" i="116"/>
  <c r="B41" i="116"/>
  <c r="B22" i="116"/>
  <c r="B24" i="116" s="1"/>
  <c r="B17" i="116"/>
  <c r="B13" i="116"/>
  <c r="B14" i="98"/>
  <c r="B41" i="98"/>
  <c r="B40" i="98"/>
  <c r="B32" i="98"/>
  <c r="B29" i="98"/>
  <c r="B27" i="98"/>
  <c r="B47" i="98" s="1"/>
  <c r="B37" i="98"/>
  <c r="B35" i="98"/>
  <c r="B36" i="98"/>
  <c r="B24" i="98"/>
  <c r="B22" i="98"/>
  <c r="B17" i="98"/>
  <c r="B13" i="98"/>
  <c r="B48" i="98"/>
  <c r="B53" i="98" s="1"/>
  <c r="B46" i="98"/>
  <c r="B40" i="19"/>
  <c r="B36" i="19"/>
  <c r="B35" i="19"/>
  <c r="B32" i="19"/>
  <c r="B30" i="19"/>
  <c r="B31" i="19"/>
  <c r="B25" i="19"/>
  <c r="B41" i="19"/>
  <c r="B46" i="19"/>
  <c r="B22" i="19"/>
  <c r="B24" i="19" s="1"/>
  <c r="B17" i="19"/>
  <c r="B13" i="19"/>
  <c r="B14" i="111"/>
  <c r="B31" i="111"/>
  <c r="B30" i="111"/>
  <c r="B32" i="111"/>
  <c r="B37" i="111"/>
  <c r="B41" i="111"/>
  <c r="B47" i="111"/>
  <c r="B46" i="111"/>
  <c r="B40" i="111"/>
  <c r="B26" i="111"/>
  <c r="B22" i="111"/>
  <c r="B29" i="111" s="1"/>
  <c r="B17" i="111"/>
  <c r="B13" i="111"/>
  <c r="R41" i="126"/>
  <c r="R40" i="126"/>
  <c r="B41" i="126"/>
  <c r="B40" i="126"/>
  <c r="B35" i="126"/>
  <c r="B37" i="126" s="1"/>
  <c r="B48" i="126" s="1"/>
  <c r="B25" i="126"/>
  <c r="B46" i="126"/>
  <c r="B29" i="126"/>
  <c r="B24" i="126"/>
  <c r="B27" i="126" s="1"/>
  <c r="B47" i="126" s="1"/>
  <c r="B21" i="126"/>
  <c r="B33" i="126" s="1"/>
  <c r="B34" i="126" s="1"/>
  <c r="B17" i="126"/>
  <c r="B13" i="126"/>
  <c r="B41" i="97"/>
  <c r="B40" i="97"/>
  <c r="F32" i="97"/>
  <c r="F36" i="97"/>
  <c r="F35" i="97"/>
  <c r="B32" i="97"/>
  <c r="B36" i="97"/>
  <c r="B35" i="97"/>
  <c r="B46" i="97"/>
  <c r="B22" i="97"/>
  <c r="B24" i="97" s="1"/>
  <c r="B25" i="97" s="1"/>
  <c r="B27" i="97" s="1"/>
  <c r="B47" i="97" s="1"/>
  <c r="B55" i="97" s="1"/>
  <c r="B17" i="97"/>
  <c r="B13" i="97"/>
  <c r="B42" i="8"/>
  <c r="B55" i="8" s="1"/>
  <c r="B40" i="8"/>
  <c r="B41" i="8" s="1"/>
  <c r="B30" i="8"/>
  <c r="B31" i="8"/>
  <c r="F32" i="8"/>
  <c r="B32" i="8"/>
  <c r="B35" i="8"/>
  <c r="B36" i="8"/>
  <c r="B17" i="8"/>
  <c r="B21" i="8"/>
  <c r="B22" i="8"/>
  <c r="B24" i="8" s="1"/>
  <c r="B27" i="8" s="1"/>
  <c r="B47" i="8" s="1"/>
  <c r="B46" i="8"/>
  <c r="B13" i="8"/>
  <c r="B40" i="89"/>
  <c r="B50" i="89" s="1"/>
  <c r="B42" i="89"/>
  <c r="B41" i="89"/>
  <c r="B55" i="89" s="1"/>
  <c r="B30" i="89"/>
  <c r="B31" i="89"/>
  <c r="B32" i="89"/>
  <c r="B37" i="89"/>
  <c r="B47" i="89"/>
  <c r="B46" i="89"/>
  <c r="B29" i="89"/>
  <c r="B27" i="89"/>
  <c r="B25" i="89"/>
  <c r="B13" i="89"/>
  <c r="B22" i="89"/>
  <c r="B24" i="89" s="1"/>
  <c r="B17" i="89"/>
  <c r="B25" i="113"/>
  <c r="B40" i="113"/>
  <c r="B41" i="113" s="1"/>
  <c r="B31" i="113"/>
  <c r="B30" i="113"/>
  <c r="B32" i="113"/>
  <c r="B46" i="113"/>
  <c r="B37" i="113"/>
  <c r="B48" i="113" s="1"/>
  <c r="B22" i="113"/>
  <c r="B24" i="113" s="1"/>
  <c r="B27" i="113" s="1"/>
  <c r="B47" i="113" s="1"/>
  <c r="B17" i="113"/>
  <c r="B13" i="113"/>
  <c r="B31" i="103"/>
  <c r="B30" i="103"/>
  <c r="B41" i="103"/>
  <c r="B40" i="103"/>
  <c r="B25" i="103"/>
  <c r="B27" i="103" s="1"/>
  <c r="B47" i="103" s="1"/>
  <c r="B52" i="103" s="1"/>
  <c r="B32" i="103"/>
  <c r="B37" i="103"/>
  <c r="B29" i="103"/>
  <c r="B22" i="103"/>
  <c r="B24" i="103" s="1"/>
  <c r="B17" i="103"/>
  <c r="B13" i="103"/>
  <c r="B55" i="103"/>
  <c r="B48" i="103"/>
  <c r="B53" i="103" s="1"/>
  <c r="B30" i="28"/>
  <c r="B31" i="28"/>
  <c r="B32" i="28"/>
  <c r="F32" i="28"/>
  <c r="B37" i="28"/>
  <c r="B36" i="28"/>
  <c r="B35" i="28"/>
  <c r="F36" i="28"/>
  <c r="F35" i="28"/>
  <c r="B42" i="28"/>
  <c r="B40" i="28"/>
  <c r="B41" i="28"/>
  <c r="B55" i="28"/>
  <c r="B46" i="28"/>
  <c r="B29" i="28"/>
  <c r="B22" i="28"/>
  <c r="B17" i="28"/>
  <c r="B13" i="28"/>
  <c r="B40" i="54"/>
  <c r="B25" i="54"/>
  <c r="B32" i="54"/>
  <c r="B41" i="54"/>
  <c r="B55" i="54" s="1"/>
  <c r="B46" i="54"/>
  <c r="B37" i="54"/>
  <c r="B48" i="54" s="1"/>
  <c r="B22" i="54"/>
  <c r="B24" i="54" s="1"/>
  <c r="B27" i="54" s="1"/>
  <c r="B47" i="54" s="1"/>
  <c r="B17" i="54"/>
  <c r="B13" i="54"/>
  <c r="B46" i="114"/>
  <c r="B25" i="114"/>
  <c r="B27" i="114" s="1"/>
  <c r="B47" i="114" s="1"/>
  <c r="B52" i="114" s="1"/>
  <c r="B26" i="114"/>
  <c r="B42" i="114"/>
  <c r="B41" i="114"/>
  <c r="B40" i="114"/>
  <c r="B30" i="114"/>
  <c r="B31" i="114"/>
  <c r="B29" i="114"/>
  <c r="B32" i="114"/>
  <c r="B36" i="114"/>
  <c r="B35" i="114"/>
  <c r="B37" i="114"/>
  <c r="B48" i="114" s="1"/>
  <c r="B22" i="114"/>
  <c r="B24" i="114" s="1"/>
  <c r="B17" i="114"/>
  <c r="B13" i="114"/>
  <c r="B26" i="76"/>
  <c r="B41" i="76"/>
  <c r="B32" i="76"/>
  <c r="B31" i="76"/>
  <c r="B30" i="76"/>
  <c r="F32" i="76"/>
  <c r="B37" i="76"/>
  <c r="B35" i="76"/>
  <c r="B36" i="76"/>
  <c r="F36" i="76"/>
  <c r="F35" i="76"/>
  <c r="B42" i="76"/>
  <c r="B27" i="76"/>
  <c r="B47" i="76" s="1"/>
  <c r="B29" i="76"/>
  <c r="B22" i="76"/>
  <c r="B17" i="76"/>
  <c r="B13" i="76"/>
  <c r="B42" i="137"/>
  <c r="B41" i="137"/>
  <c r="F32" i="137"/>
  <c r="B32" i="137"/>
  <c r="B35" i="137"/>
  <c r="B36" i="137"/>
  <c r="B30" i="137"/>
  <c r="B31" i="137"/>
  <c r="B14" i="137"/>
  <c r="B13" i="137"/>
  <c r="F17" i="137"/>
  <c r="B37" i="137"/>
  <c r="B48" i="137" s="1"/>
  <c r="B53" i="137" s="1"/>
  <c r="B22" i="137"/>
  <c r="B29" i="137" s="1"/>
  <c r="B17" i="137"/>
  <c r="B55" i="137"/>
  <c r="B31" i="95"/>
  <c r="B30" i="95"/>
  <c r="F30" i="95"/>
  <c r="B32" i="95"/>
  <c r="B42" i="95"/>
  <c r="B55" i="95" s="1"/>
  <c r="B41" i="95"/>
  <c r="B40" i="95"/>
  <c r="B37" i="95"/>
  <c r="B35" i="95"/>
  <c r="B36" i="95"/>
  <c r="B22" i="95"/>
  <c r="B29" i="95" s="1"/>
  <c r="B17" i="95"/>
  <c r="B13" i="95"/>
  <c r="B48" i="95"/>
  <c r="B46" i="95"/>
  <c r="B42" i="83"/>
  <c r="B41" i="83"/>
  <c r="B40" i="83"/>
  <c r="B32" i="83"/>
  <c r="B35" i="83"/>
  <c r="B36" i="83"/>
  <c r="B30" i="83"/>
  <c r="B31" i="83"/>
  <c r="B16" i="83"/>
  <c r="B17" i="83" s="1"/>
  <c r="B42" i="136"/>
  <c r="B55" i="136" s="1"/>
  <c r="B25" i="136"/>
  <c r="B40" i="136"/>
  <c r="B41" i="136" s="1"/>
  <c r="B32" i="136"/>
  <c r="B46" i="136"/>
  <c r="B37" i="136"/>
  <c r="B48" i="136" s="1"/>
  <c r="B29" i="136"/>
  <c r="B22" i="136"/>
  <c r="B24" i="136" s="1"/>
  <c r="B17" i="136"/>
  <c r="B13" i="136"/>
  <c r="B55" i="83"/>
  <c r="B46" i="83"/>
  <c r="B22" i="83"/>
  <c r="B29" i="83" s="1"/>
  <c r="B13" i="83"/>
  <c r="C26" i="48"/>
  <c r="B26" i="48" s="1"/>
  <c r="D26" i="48"/>
  <c r="F37" i="48"/>
  <c r="F36" i="48"/>
  <c r="B37" i="48"/>
  <c r="B36" i="48"/>
  <c r="B42" i="48"/>
  <c r="B41" i="48"/>
  <c r="B40" i="48"/>
  <c r="B31" i="48"/>
  <c r="B32" i="48"/>
  <c r="B35" i="48"/>
  <c r="B29" i="48"/>
  <c r="B22" i="48"/>
  <c r="B24" i="48" s="1"/>
  <c r="B17" i="48"/>
  <c r="B13" i="48"/>
  <c r="B46" i="48"/>
  <c r="B32" i="15"/>
  <c r="F32" i="15"/>
  <c r="F35" i="15"/>
  <c r="B35" i="15"/>
  <c r="B37" i="15" s="1"/>
  <c r="B36" i="15"/>
  <c r="F36" i="15"/>
  <c r="B30" i="15"/>
  <c r="B31" i="15"/>
  <c r="B41" i="15"/>
  <c r="B40" i="15"/>
  <c r="B47" i="15"/>
  <c r="B46" i="15"/>
  <c r="F12" i="15"/>
  <c r="B13" i="15" s="1"/>
  <c r="B12" i="15"/>
  <c r="B17" i="15" s="1"/>
  <c r="B22" i="15"/>
  <c r="B29" i="15" s="1"/>
  <c r="B42" i="123"/>
  <c r="B55" i="123" s="1"/>
  <c r="B41" i="123"/>
  <c r="B40" i="123"/>
  <c r="B31" i="123"/>
  <c r="B30" i="123"/>
  <c r="B32" i="123"/>
  <c r="B37" i="123"/>
  <c r="B48" i="123" s="1"/>
  <c r="B35" i="123"/>
  <c r="B36" i="123"/>
  <c r="B27" i="123"/>
  <c r="B47" i="123" s="1"/>
  <c r="B52" i="123" s="1"/>
  <c r="B29" i="123"/>
  <c r="B22" i="123"/>
  <c r="B24" i="123" s="1"/>
  <c r="B17" i="123"/>
  <c r="B13" i="123"/>
  <c r="B46" i="123"/>
  <c r="B41" i="154"/>
  <c r="I55" i="154"/>
  <c r="H55" i="154"/>
  <c r="B55" i="154"/>
  <c r="I37" i="154"/>
  <c r="H37" i="154"/>
  <c r="G37" i="154"/>
  <c r="F37" i="154"/>
  <c r="E37" i="154"/>
  <c r="D37" i="154"/>
  <c r="B53" i="154" s="1"/>
  <c r="C37" i="154"/>
  <c r="B37" i="154"/>
  <c r="I29" i="154"/>
  <c r="H29" i="154"/>
  <c r="E29" i="154"/>
  <c r="D29" i="154"/>
  <c r="I22" i="154"/>
  <c r="H22" i="154"/>
  <c r="G22" i="154"/>
  <c r="G29" i="154" s="1"/>
  <c r="F22" i="154"/>
  <c r="F24" i="154" s="1"/>
  <c r="F27" i="154" s="1"/>
  <c r="E22" i="154"/>
  <c r="E24" i="154" s="1"/>
  <c r="E27" i="154" s="1"/>
  <c r="D22" i="154"/>
  <c r="D24" i="154" s="1"/>
  <c r="D27" i="154" s="1"/>
  <c r="C22" i="154"/>
  <c r="C29" i="154" s="1"/>
  <c r="B22" i="154"/>
  <c r="B24" i="154" s="1"/>
  <c r="B27" i="154" s="1"/>
  <c r="I17" i="154"/>
  <c r="H17" i="154"/>
  <c r="G17" i="154"/>
  <c r="F17" i="154"/>
  <c r="E17" i="154"/>
  <c r="D17" i="154"/>
  <c r="C17" i="154"/>
  <c r="B17" i="154"/>
  <c r="E13" i="154"/>
  <c r="D13" i="154"/>
  <c r="C13" i="154"/>
  <c r="B13" i="154"/>
  <c r="C10" i="154"/>
  <c r="D10" i="154" s="1"/>
  <c r="E10" i="154" s="1"/>
  <c r="F10" i="154" s="1"/>
  <c r="G10" i="154" s="1"/>
  <c r="H10" i="154" s="1"/>
  <c r="I10" i="154" s="1"/>
  <c r="B47" i="153"/>
  <c r="B46" i="153"/>
  <c r="B41" i="153"/>
  <c r="I55" i="153"/>
  <c r="H55" i="153"/>
  <c r="G55" i="153"/>
  <c r="B55" i="153"/>
  <c r="I37" i="153"/>
  <c r="H37" i="153"/>
  <c r="G37" i="153"/>
  <c r="F37" i="153"/>
  <c r="E37" i="153"/>
  <c r="D37" i="153"/>
  <c r="C37" i="153"/>
  <c r="B37" i="153"/>
  <c r="B53" i="153" s="1"/>
  <c r="I29" i="153"/>
  <c r="F29" i="153"/>
  <c r="E29" i="153"/>
  <c r="B29" i="153"/>
  <c r="I22" i="153"/>
  <c r="H22" i="153"/>
  <c r="H29" i="153" s="1"/>
  <c r="G22" i="153"/>
  <c r="G29" i="153" s="1"/>
  <c r="F22" i="153"/>
  <c r="F24" i="153" s="1"/>
  <c r="F27" i="153" s="1"/>
  <c r="E22" i="153"/>
  <c r="E24" i="153" s="1"/>
  <c r="E27" i="153" s="1"/>
  <c r="D22" i="153"/>
  <c r="D29" i="153" s="1"/>
  <c r="C22" i="153"/>
  <c r="C24" i="153" s="1"/>
  <c r="C27" i="153" s="1"/>
  <c r="B22" i="153"/>
  <c r="B24" i="153" s="1"/>
  <c r="B27" i="153" s="1"/>
  <c r="I17" i="153"/>
  <c r="H17" i="153"/>
  <c r="G17" i="153"/>
  <c r="F17" i="153"/>
  <c r="E17" i="153"/>
  <c r="D17" i="153"/>
  <c r="C17" i="153"/>
  <c r="B17" i="153"/>
  <c r="E13" i="153"/>
  <c r="D13" i="153"/>
  <c r="C13" i="153"/>
  <c r="B13" i="153"/>
  <c r="C10" i="153"/>
  <c r="D10" i="153" s="1"/>
  <c r="E10" i="153" s="1"/>
  <c r="F10" i="153" s="1"/>
  <c r="G10" i="153" s="1"/>
  <c r="H10" i="153" s="1"/>
  <c r="I10" i="153" s="1"/>
  <c r="F18" i="1"/>
  <c r="E18" i="1"/>
  <c r="I18" i="1"/>
  <c r="B52" i="155" l="1"/>
  <c r="B50" i="155"/>
  <c r="B51" i="155"/>
  <c r="B50" i="116"/>
  <c r="B51" i="116"/>
  <c r="B52" i="98"/>
  <c r="B55" i="98"/>
  <c r="B50" i="98"/>
  <c r="B51" i="98"/>
  <c r="B27" i="19"/>
  <c r="B47" i="19" s="1"/>
  <c r="B51" i="19" s="1"/>
  <c r="B55" i="19"/>
  <c r="B37" i="19"/>
  <c r="B48" i="19" s="1"/>
  <c r="B53" i="19" s="1"/>
  <c r="B29" i="19"/>
  <c r="B55" i="111"/>
  <c r="B50" i="111"/>
  <c r="B51" i="111"/>
  <c r="B52" i="111"/>
  <c r="B24" i="111"/>
  <c r="B53" i="126"/>
  <c r="B52" i="126"/>
  <c r="B55" i="126"/>
  <c r="B50" i="126"/>
  <c r="B51" i="126"/>
  <c r="B37" i="97"/>
  <c r="B29" i="97"/>
  <c r="B50" i="97"/>
  <c r="B51" i="97"/>
  <c r="B52" i="97"/>
  <c r="B52" i="8"/>
  <c r="B37" i="8"/>
  <c r="B48" i="8" s="1"/>
  <c r="B53" i="8" s="1"/>
  <c r="B29" i="8"/>
  <c r="B50" i="8"/>
  <c r="B51" i="8"/>
  <c r="B52" i="89"/>
  <c r="B51" i="89"/>
  <c r="B55" i="113"/>
  <c r="B53" i="113"/>
  <c r="B52" i="113"/>
  <c r="B50" i="113"/>
  <c r="B29" i="113"/>
  <c r="B51" i="113"/>
  <c r="B50" i="103"/>
  <c r="B51" i="103"/>
  <c r="B52" i="54"/>
  <c r="B53" i="54"/>
  <c r="B50" i="54"/>
  <c r="B51" i="54"/>
  <c r="B29" i="54"/>
  <c r="B55" i="114"/>
  <c r="B53" i="114"/>
  <c r="B50" i="114"/>
  <c r="B51" i="114"/>
  <c r="B52" i="76"/>
  <c r="B55" i="76"/>
  <c r="B50" i="76"/>
  <c r="B51" i="76"/>
  <c r="B24" i="137"/>
  <c r="B27" i="137" s="1"/>
  <c r="B47" i="137" s="1"/>
  <c r="B53" i="95"/>
  <c r="B24" i="95"/>
  <c r="B27" i="95" s="1"/>
  <c r="B47" i="95" s="1"/>
  <c r="B52" i="95" s="1"/>
  <c r="B37" i="83"/>
  <c r="B48" i="83" s="1"/>
  <c r="B53" i="83" s="1"/>
  <c r="B27" i="136"/>
  <c r="B47" i="136" s="1"/>
  <c r="B52" i="136" s="1"/>
  <c r="B53" i="136"/>
  <c r="B24" i="83"/>
  <c r="B27" i="83" s="1"/>
  <c r="B47" i="83" s="1"/>
  <c r="B52" i="83" s="1"/>
  <c r="B27" i="48"/>
  <c r="B47" i="48" s="1"/>
  <c r="B55" i="48" s="1"/>
  <c r="B52" i="48"/>
  <c r="B50" i="48"/>
  <c r="B51" i="48"/>
  <c r="B55" i="15"/>
  <c r="B50" i="15"/>
  <c r="B51" i="15"/>
  <c r="B52" i="15"/>
  <c r="B53" i="123"/>
  <c r="B50" i="123"/>
  <c r="B51" i="123"/>
  <c r="B52" i="154"/>
  <c r="B51" i="154"/>
  <c r="B50" i="154"/>
  <c r="C24" i="154"/>
  <c r="C27" i="154" s="1"/>
  <c r="B29" i="154"/>
  <c r="F29" i="154"/>
  <c r="B51" i="153"/>
  <c r="B52" i="153"/>
  <c r="B50" i="153"/>
  <c r="D24" i="153"/>
  <c r="D27" i="153" s="1"/>
  <c r="C29" i="153"/>
  <c r="B46" i="64"/>
  <c r="B47" i="64"/>
  <c r="B40" i="64"/>
  <c r="B41" i="64"/>
  <c r="B53" i="64" s="1"/>
  <c r="B24" i="64"/>
  <c r="B31" i="64"/>
  <c r="B30" i="64"/>
  <c r="B32" i="64"/>
  <c r="B48" i="64"/>
  <c r="B13" i="64"/>
  <c r="B37" i="64"/>
  <c r="B55" i="64"/>
  <c r="B50" i="64"/>
  <c r="B29" i="64"/>
  <c r="B27" i="64"/>
  <c r="B22" i="64"/>
  <c r="B17" i="64"/>
  <c r="J18" i="1"/>
  <c r="O18" i="1"/>
  <c r="O52" i="1"/>
  <c r="C52" i="1"/>
  <c r="C18" i="1"/>
  <c r="I52" i="1"/>
  <c r="J52" i="1"/>
  <c r="B50" i="19" l="1"/>
  <c r="B52" i="19"/>
  <c r="B27" i="111"/>
  <c r="B52" i="137"/>
  <c r="B50" i="137"/>
  <c r="B51" i="137"/>
  <c r="B50" i="95"/>
  <c r="B51" i="95"/>
  <c r="B50" i="136"/>
  <c r="B51" i="136"/>
  <c r="B50" i="83"/>
  <c r="B51" i="83"/>
  <c r="B51" i="64"/>
  <c r="B52" i="64"/>
  <c r="B55" i="102"/>
  <c r="B53" i="102"/>
  <c r="B52" i="102"/>
  <c r="B51" i="102"/>
  <c r="B50" i="102"/>
  <c r="B42" i="102"/>
  <c r="B41" i="102"/>
  <c r="F52" i="1"/>
  <c r="I20" i="1"/>
  <c r="E52" i="1"/>
  <c r="C20" i="1"/>
  <c r="O20" i="1"/>
  <c r="B31" i="132" l="1"/>
  <c r="B30" i="132"/>
  <c r="F30" i="132"/>
  <c r="B32" i="132"/>
  <c r="B37" i="132"/>
  <c r="B36" i="132"/>
  <c r="B35" i="132"/>
  <c r="B13" i="132"/>
  <c r="B22" i="132"/>
  <c r="B29" i="132" s="1"/>
  <c r="B17" i="132"/>
  <c r="B41" i="132"/>
  <c r="B40" i="132"/>
  <c r="B48" i="132"/>
  <c r="B53" i="132" s="1"/>
  <c r="B46" i="132"/>
  <c r="B24" i="132" l="1"/>
  <c r="B25" i="132" s="1"/>
  <c r="B27" i="132" s="1"/>
  <c r="B47" i="132" s="1"/>
  <c r="B52" i="132"/>
  <c r="B55" i="132"/>
  <c r="B50" i="132"/>
  <c r="B51" i="132"/>
  <c r="E27" i="141"/>
  <c r="D27" i="141"/>
  <c r="C27" i="141"/>
  <c r="B27" i="141"/>
  <c r="B41" i="141"/>
  <c r="B52" i="141" s="1"/>
  <c r="B40" i="141"/>
  <c r="B50" i="141" s="1"/>
  <c r="B55" i="141"/>
  <c r="B46" i="141"/>
  <c r="B53" i="141"/>
  <c r="B51" i="141"/>
  <c r="B16" i="141"/>
  <c r="F16" i="141"/>
  <c r="F22" i="141"/>
  <c r="B22" i="141"/>
  <c r="B17" i="141"/>
  <c r="F17" i="141"/>
  <c r="B32" i="141"/>
  <c r="F32" i="141"/>
  <c r="B37" i="141"/>
  <c r="F37" i="141"/>
  <c r="F29" i="141"/>
  <c r="B29" i="141"/>
  <c r="B13" i="141"/>
  <c r="B47" i="139" l="1"/>
  <c r="B25" i="139"/>
  <c r="B48" i="139"/>
  <c r="B27" i="139"/>
  <c r="F29" i="139"/>
  <c r="B29" i="139"/>
  <c r="F35" i="139"/>
  <c r="B35" i="139"/>
  <c r="B22" i="139"/>
  <c r="B17" i="139"/>
  <c r="F22" i="139"/>
  <c r="F17" i="139"/>
  <c r="B13" i="139"/>
  <c r="B55" i="139"/>
  <c r="B53" i="139"/>
  <c r="B52" i="139"/>
  <c r="B51" i="139"/>
  <c r="B50" i="139"/>
  <c r="B41" i="139"/>
  <c r="B40" i="139"/>
  <c r="B48" i="63" l="1"/>
  <c r="B32" i="63"/>
  <c r="F32" i="63"/>
  <c r="B37" i="63"/>
  <c r="B36" i="63"/>
  <c r="F36" i="63"/>
  <c r="B24" i="63"/>
  <c r="B25" i="63" s="1"/>
  <c r="B22" i="63"/>
  <c r="B17" i="63"/>
  <c r="B13" i="63"/>
  <c r="B12" i="63"/>
  <c r="B53" i="63"/>
  <c r="B29" i="63"/>
  <c r="B41" i="63"/>
  <c r="B40" i="63"/>
  <c r="B26" i="63" l="1"/>
  <c r="B27" i="63" s="1"/>
  <c r="B47" i="63" s="1"/>
  <c r="B41" i="65"/>
  <c r="B40" i="65"/>
  <c r="B39" i="65"/>
  <c r="B25" i="65"/>
  <c r="B36" i="65"/>
  <c r="B37" i="65" s="1"/>
  <c r="B48" i="65" s="1"/>
  <c r="B46" i="65"/>
  <c r="B29" i="65"/>
  <c r="B34" i="65" s="1"/>
  <c r="B22" i="65"/>
  <c r="B24" i="65" s="1"/>
  <c r="B27" i="65" s="1"/>
  <c r="B47" i="65" s="1"/>
  <c r="B17" i="65"/>
  <c r="B13" i="65"/>
  <c r="B52" i="63" l="1"/>
  <c r="B51" i="63"/>
  <c r="B55" i="63"/>
  <c r="B50" i="63"/>
  <c r="B53" i="65"/>
  <c r="B52" i="65"/>
  <c r="B55" i="65"/>
  <c r="B51" i="65"/>
  <c r="B50" i="65"/>
  <c r="B27" i="129"/>
  <c r="B24" i="129"/>
  <c r="B25" i="129"/>
  <c r="B41" i="129"/>
  <c r="B40" i="129"/>
  <c r="B31" i="129"/>
  <c r="B30" i="129"/>
  <c r="B22" i="129"/>
  <c r="B29" i="129" s="1"/>
  <c r="B17" i="129"/>
  <c r="B32" i="129"/>
  <c r="B36" i="129"/>
  <c r="F36" i="129"/>
  <c r="B37" i="129"/>
  <c r="B13" i="129"/>
  <c r="B46" i="129"/>
  <c r="F32" i="27" l="1"/>
  <c r="B32" i="27"/>
  <c r="B41" i="27"/>
  <c r="B25" i="27"/>
  <c r="B48" i="27"/>
  <c r="B42" i="27"/>
  <c r="B37" i="27"/>
  <c r="B29" i="27"/>
  <c r="B34" i="27" s="1"/>
  <c r="B22" i="27"/>
  <c r="B24" i="27" s="1"/>
  <c r="B27" i="27" s="1"/>
  <c r="B47" i="27" s="1"/>
  <c r="B17" i="27"/>
  <c r="B13" i="27"/>
  <c r="B47" i="129" l="1"/>
  <c r="B55" i="129" s="1"/>
  <c r="B53" i="27"/>
  <c r="B55" i="27"/>
  <c r="B51" i="27"/>
  <c r="B52" i="27"/>
  <c r="B50" i="27"/>
  <c r="B31" i="130"/>
  <c r="F31" i="130"/>
  <c r="B30" i="130"/>
  <c r="B32" i="130"/>
  <c r="F32" i="130"/>
  <c r="B40" i="130"/>
  <c r="B41" i="130"/>
  <c r="B26" i="130"/>
  <c r="B46" i="130"/>
  <c r="B42" i="130"/>
  <c r="B37" i="130"/>
  <c r="B29" i="130"/>
  <c r="B22" i="130"/>
  <c r="B24" i="130" s="1"/>
  <c r="B27" i="130" s="1"/>
  <c r="B47" i="130" s="1"/>
  <c r="B17" i="130"/>
  <c r="B13" i="130"/>
  <c r="B50" i="129" l="1"/>
  <c r="B51" i="129"/>
  <c r="B52" i="129"/>
  <c r="B55" i="130"/>
  <c r="B51" i="130"/>
  <c r="B52" i="130"/>
  <c r="B50" i="130"/>
  <c r="B32" i="128"/>
  <c r="C25" i="128"/>
  <c r="B25" i="128"/>
  <c r="B41" i="128"/>
  <c r="B40" i="128"/>
  <c r="B46" i="128"/>
  <c r="B37" i="128"/>
  <c r="B48" i="128" s="1"/>
  <c r="B29" i="128"/>
  <c r="B27" i="128"/>
  <c r="B47" i="128" s="1"/>
  <c r="B22" i="128"/>
  <c r="B24" i="128" s="1"/>
  <c r="B17" i="128"/>
  <c r="B13" i="128"/>
  <c r="B51" i="128" l="1"/>
  <c r="B55" i="128"/>
  <c r="B53" i="128"/>
  <c r="B52" i="128"/>
  <c r="B50" i="128"/>
  <c r="B46" i="142"/>
  <c r="B44" i="142"/>
  <c r="B42" i="142"/>
  <c r="B41" i="142"/>
  <c r="B40" i="142"/>
  <c r="B52" i="142" s="1"/>
  <c r="B39" i="142"/>
  <c r="G29" i="142"/>
  <c r="C37" i="142"/>
  <c r="G37" i="142"/>
  <c r="C25" i="142"/>
  <c r="C27" i="142"/>
  <c r="C47" i="142" s="1"/>
  <c r="B24" i="142"/>
  <c r="B47" i="142"/>
  <c r="B29" i="142"/>
  <c r="B27" i="142"/>
  <c r="C41" i="142"/>
  <c r="C40" i="142"/>
  <c r="B13" i="142"/>
  <c r="B22" i="142"/>
  <c r="B17" i="142"/>
  <c r="F22" i="142"/>
  <c r="F17" i="142"/>
  <c r="C53" i="142"/>
  <c r="C29" i="142"/>
  <c r="G22" i="142"/>
  <c r="G17" i="142"/>
  <c r="C22" i="142"/>
  <c r="C17" i="142"/>
  <c r="C13" i="142"/>
  <c r="B51" i="142" l="1"/>
  <c r="B53" i="142"/>
  <c r="B50" i="142"/>
  <c r="B55" i="142"/>
  <c r="C55" i="142"/>
  <c r="C51" i="142"/>
  <c r="C52" i="142"/>
  <c r="C50" i="142"/>
  <c r="B36" i="135"/>
  <c r="G31" i="135"/>
  <c r="G30" i="135"/>
  <c r="G32" i="135"/>
  <c r="C32" i="135"/>
  <c r="G37" i="135"/>
  <c r="G36" i="135"/>
  <c r="C36" i="135"/>
  <c r="C37" i="135"/>
  <c r="G35" i="135"/>
  <c r="C35" i="135"/>
  <c r="G24" i="135"/>
  <c r="F24" i="135"/>
  <c r="E24" i="135"/>
  <c r="D24" i="135"/>
  <c r="B24" i="135"/>
  <c r="C24" i="135"/>
  <c r="C27" i="135" s="1"/>
  <c r="C47" i="135" s="1"/>
  <c r="G22" i="135"/>
  <c r="G17" i="135"/>
  <c r="G16" i="135"/>
  <c r="C22" i="135"/>
  <c r="C29" i="135" s="1"/>
  <c r="C17" i="135"/>
  <c r="C16" i="135"/>
  <c r="C12" i="135"/>
  <c r="G12" i="135"/>
  <c r="C46" i="135"/>
  <c r="B40" i="135"/>
  <c r="C40" i="135"/>
  <c r="B32" i="135"/>
  <c r="F32" i="135"/>
  <c r="B37" i="135"/>
  <c r="B41" i="135"/>
  <c r="C41" i="135"/>
  <c r="B48" i="135"/>
  <c r="B53" i="135" s="1"/>
  <c r="B46" i="135"/>
  <c r="C48" i="135"/>
  <c r="C53" i="135" s="1"/>
  <c r="B29" i="135"/>
  <c r="B27" i="135"/>
  <c r="B47" i="135" s="1"/>
  <c r="B22" i="135"/>
  <c r="B17" i="135"/>
  <c r="B16" i="135"/>
  <c r="F16" i="135"/>
  <c r="B13" i="135"/>
  <c r="C13" i="135"/>
  <c r="B41" i="140" l="1"/>
  <c r="B40" i="140"/>
  <c r="B55" i="140"/>
  <c r="B52" i="140"/>
  <c r="B50" i="140"/>
  <c r="B51" i="140"/>
  <c r="B53" i="140" l="1"/>
  <c r="B26" i="47"/>
  <c r="B40" i="47"/>
  <c r="B41" i="47" s="1"/>
  <c r="B39" i="47"/>
  <c r="B30" i="47"/>
  <c r="F30" i="47"/>
  <c r="B32" i="47"/>
  <c r="B29" i="47"/>
  <c r="B37" i="47"/>
  <c r="B27" i="47"/>
  <c r="B25" i="47"/>
  <c r="B24" i="47"/>
  <c r="B22" i="47"/>
  <c r="B21" i="47"/>
  <c r="B17" i="47"/>
  <c r="B16" i="47"/>
  <c r="F16" i="47"/>
  <c r="B13" i="47"/>
  <c r="B48" i="47"/>
  <c r="B47" i="47"/>
  <c r="B46" i="47"/>
  <c r="B55" i="47" l="1"/>
  <c r="B50" i="47"/>
  <c r="B53" i="47"/>
  <c r="B51" i="47"/>
  <c r="B52" i="47"/>
  <c r="B41" i="72"/>
  <c r="B37" i="72"/>
  <c r="B35" i="72"/>
  <c r="B22" i="72"/>
  <c r="B29" i="72" s="1"/>
  <c r="B17" i="72"/>
  <c r="B13" i="72"/>
  <c r="B55" i="72"/>
  <c r="B46" i="72"/>
  <c r="B24" i="72" l="1"/>
  <c r="B27" i="72" s="1"/>
  <c r="B47" i="72" s="1"/>
  <c r="B50" i="72" s="1"/>
  <c r="B52" i="72"/>
  <c r="B51" i="72"/>
  <c r="B40" i="120"/>
  <c r="B39" i="120"/>
  <c r="F32" i="120"/>
  <c r="B37" i="120"/>
  <c r="B41" i="120"/>
  <c r="B55" i="120" s="1"/>
  <c r="B13" i="120"/>
  <c r="B22" i="120"/>
  <c r="B24" i="120" s="1"/>
  <c r="B17" i="120"/>
  <c r="B29" i="120"/>
  <c r="B46" i="120"/>
  <c r="B25" i="120" l="1"/>
  <c r="B27" i="120" s="1"/>
  <c r="B47" i="120" s="1"/>
  <c r="B40" i="57"/>
  <c r="B41" i="57"/>
  <c r="B55" i="57" s="1"/>
  <c r="B42" i="57"/>
  <c r="B32" i="57"/>
  <c r="F32" i="57"/>
  <c r="B37" i="57"/>
  <c r="B33" i="57"/>
  <c r="B34" i="57" s="1"/>
  <c r="B21" i="57"/>
  <c r="B17" i="57"/>
  <c r="B13" i="57"/>
  <c r="B29" i="57"/>
  <c r="B24" i="57"/>
  <c r="B27" i="57" s="1"/>
  <c r="B47" i="57" s="1"/>
  <c r="B46" i="57"/>
  <c r="B50" i="120" l="1"/>
  <c r="B52" i="120"/>
  <c r="B51" i="120"/>
  <c r="B52" i="57"/>
  <c r="B51" i="57"/>
  <c r="B50" i="57"/>
  <c r="B21" i="13"/>
  <c r="B40" i="13"/>
  <c r="B32" i="13"/>
  <c r="B55" i="13"/>
  <c r="B46" i="13"/>
  <c r="B41" i="13"/>
  <c r="B37" i="13"/>
  <c r="B22" i="13"/>
  <c r="B29" i="13" s="1"/>
  <c r="B17" i="13"/>
  <c r="B13" i="13"/>
  <c r="B24" i="13" l="1"/>
  <c r="B27" i="13" s="1"/>
  <c r="B47" i="13" s="1"/>
  <c r="B50" i="13" s="1"/>
  <c r="B29" i="82"/>
  <c r="B35" i="82"/>
  <c r="B37" i="82" s="1"/>
  <c r="B48" i="82" s="1"/>
  <c r="B53" i="82" s="1"/>
  <c r="C40" i="82"/>
  <c r="B40" i="82"/>
  <c r="B41" i="82"/>
  <c r="B25" i="82"/>
  <c r="B22" i="82"/>
  <c r="B24" i="82" s="1"/>
  <c r="B17" i="82"/>
  <c r="B13" i="82"/>
  <c r="B55" i="82"/>
  <c r="B47" i="82"/>
  <c r="B46" i="82"/>
  <c r="B52" i="13" l="1"/>
  <c r="B51" i="13"/>
  <c r="B52" i="82"/>
  <c r="B50" i="82"/>
  <c r="B51" i="82"/>
  <c r="B25" i="121"/>
  <c r="B41" i="121"/>
  <c r="B22" i="121"/>
  <c r="B24" i="121" s="1"/>
  <c r="B27" i="121" s="1"/>
  <c r="B47" i="121" s="1"/>
  <c r="B17" i="121"/>
  <c r="B29" i="121"/>
  <c r="B36" i="121"/>
  <c r="B37" i="121"/>
  <c r="B13" i="121"/>
  <c r="B55" i="121"/>
  <c r="B46" i="121"/>
  <c r="B52" i="121" l="1"/>
  <c r="B51" i="121"/>
  <c r="B50" i="121"/>
  <c r="B41" i="26"/>
  <c r="B40" i="26"/>
  <c r="B39" i="26"/>
  <c r="B31" i="26"/>
  <c r="B30" i="26"/>
  <c r="B32" i="26"/>
  <c r="B37" i="26"/>
  <c r="B35" i="26"/>
  <c r="B36" i="26"/>
  <c r="B13" i="26"/>
  <c r="B22" i="26"/>
  <c r="C22" i="26"/>
  <c r="E22" i="26"/>
  <c r="F22" i="26"/>
  <c r="G22" i="26"/>
  <c r="I22" i="26"/>
  <c r="B29" i="26"/>
  <c r="B17" i="26"/>
  <c r="B55" i="26"/>
  <c r="B48" i="26"/>
  <c r="B53" i="26" s="1"/>
  <c r="B46" i="26"/>
  <c r="D24" i="26"/>
  <c r="C31" i="3" l="1"/>
  <c r="C30" i="3"/>
  <c r="C32" i="3"/>
  <c r="C35" i="3"/>
  <c r="C37" i="3"/>
  <c r="B48" i="3" s="1"/>
  <c r="B53" i="3" s="1"/>
  <c r="C36" i="3"/>
  <c r="C26" i="3"/>
  <c r="C27" i="3" s="1"/>
  <c r="C47" i="3" s="1"/>
  <c r="B41" i="3"/>
  <c r="B31" i="3"/>
  <c r="B30" i="3"/>
  <c r="B32" i="3"/>
  <c r="F32" i="3"/>
  <c r="B33" i="3"/>
  <c r="C33" i="3"/>
  <c r="B37" i="3"/>
  <c r="B42" i="3"/>
  <c r="C48" i="3"/>
  <c r="B47" i="3"/>
  <c r="B26" i="3"/>
  <c r="B24" i="3"/>
  <c r="B27" i="3" s="1"/>
  <c r="C24" i="3"/>
  <c r="B16" i="3"/>
  <c r="B17" i="3" s="1"/>
  <c r="C16" i="3"/>
  <c r="C17" i="3" s="1"/>
  <c r="B46" i="3"/>
  <c r="C46" i="3"/>
  <c r="B29" i="3"/>
  <c r="C29" i="3"/>
  <c r="B55" i="3"/>
  <c r="B52" i="3"/>
  <c r="B51" i="3"/>
  <c r="B50" i="3"/>
  <c r="B13" i="3"/>
  <c r="C13" i="3"/>
  <c r="B41" i="34" l="1"/>
  <c r="B30" i="34"/>
  <c r="B31" i="34"/>
  <c r="B34" i="34"/>
  <c r="B32" i="34"/>
  <c r="B37" i="34"/>
  <c r="B22" i="34"/>
  <c r="B29" i="34" s="1"/>
  <c r="B17" i="34"/>
  <c r="B13" i="34"/>
  <c r="B42" i="34"/>
  <c r="B48" i="34"/>
  <c r="B53" i="34" s="1"/>
  <c r="B46" i="34"/>
  <c r="B24" i="34" l="1"/>
  <c r="B27" i="34" s="1"/>
  <c r="B47" i="34" s="1"/>
  <c r="B52" i="34"/>
  <c r="C13" i="118"/>
  <c r="B41" i="118"/>
  <c r="C41" i="118"/>
  <c r="B40" i="118"/>
  <c r="C40" i="118"/>
  <c r="C22" i="118"/>
  <c r="C17" i="118"/>
  <c r="B22" i="118"/>
  <c r="B17" i="118"/>
  <c r="B13" i="118"/>
  <c r="B46" i="118"/>
  <c r="C46" i="118"/>
  <c r="B50" i="34" l="1"/>
  <c r="B51" i="34"/>
  <c r="B55" i="34"/>
  <c r="B53" i="118"/>
  <c r="C53" i="118"/>
  <c r="B37" i="94"/>
  <c r="B22" i="94"/>
  <c r="B29" i="94" s="1"/>
  <c r="B17" i="94"/>
  <c r="B13" i="94"/>
  <c r="B40" i="143" l="1"/>
  <c r="B41" i="143"/>
  <c r="B55" i="143" s="1"/>
  <c r="C41" i="143"/>
  <c r="C40" i="143"/>
  <c r="D41" i="143"/>
  <c r="B48" i="143"/>
  <c r="C48" i="143"/>
  <c r="B47" i="143"/>
  <c r="B46" i="143"/>
  <c r="C46" i="143"/>
  <c r="C47" i="143"/>
  <c r="B53" i="143"/>
  <c r="F32" i="143"/>
  <c r="B32" i="143"/>
  <c r="B37" i="143"/>
  <c r="B22" i="143"/>
  <c r="B29" i="143" s="1"/>
  <c r="B17" i="143"/>
  <c r="B13" i="143"/>
  <c r="B51" i="143"/>
  <c r="B50" i="143"/>
  <c r="C55" i="143"/>
  <c r="C53" i="143"/>
  <c r="C52" i="143"/>
  <c r="C51" i="143"/>
  <c r="C50" i="143"/>
  <c r="B52" i="143" l="1"/>
  <c r="B55" i="145"/>
  <c r="B53" i="145"/>
  <c r="B52" i="145"/>
  <c r="B51" i="145"/>
  <c r="B50" i="145"/>
  <c r="B41" i="145"/>
  <c r="B37" i="145"/>
  <c r="B24" i="145"/>
  <c r="B27" i="145" s="1"/>
  <c r="B22" i="145"/>
  <c r="B29" i="145" s="1"/>
  <c r="B17" i="145"/>
  <c r="B13" i="145"/>
  <c r="C37" i="145"/>
  <c r="C24" i="145"/>
  <c r="C27" i="145" s="1"/>
  <c r="C22" i="145"/>
  <c r="C29" i="145" s="1"/>
  <c r="C17" i="145"/>
  <c r="C13" i="145"/>
  <c r="B46" i="25" l="1"/>
  <c r="B47" i="25"/>
  <c r="B55" i="25"/>
  <c r="B53" i="25"/>
  <c r="B52" i="25"/>
  <c r="B51" i="25"/>
  <c r="B50" i="25"/>
  <c r="B41" i="25"/>
  <c r="C40" i="25"/>
  <c r="B41" i="152" l="1"/>
  <c r="H55" i="152"/>
  <c r="B55" i="152"/>
  <c r="H37" i="152"/>
  <c r="G37" i="152"/>
  <c r="F37" i="152"/>
  <c r="E37" i="152"/>
  <c r="D37" i="152"/>
  <c r="C37" i="152"/>
  <c r="B37" i="152"/>
  <c r="B53" i="152" s="1"/>
  <c r="H22" i="152"/>
  <c r="H29" i="152" s="1"/>
  <c r="G22" i="152"/>
  <c r="G29" i="152" s="1"/>
  <c r="F22" i="152"/>
  <c r="E22" i="152"/>
  <c r="E29" i="152" s="1"/>
  <c r="D22" i="152"/>
  <c r="D29" i="152" s="1"/>
  <c r="C22" i="152"/>
  <c r="B22" i="152"/>
  <c r="H17" i="152"/>
  <c r="G17" i="152"/>
  <c r="F17" i="152"/>
  <c r="E17" i="152"/>
  <c r="D17" i="152"/>
  <c r="C17" i="152"/>
  <c r="B17" i="152"/>
  <c r="D13" i="152"/>
  <c r="C13" i="152"/>
  <c r="B13" i="152"/>
  <c r="C10" i="152"/>
  <c r="D10" i="152" s="1"/>
  <c r="E10" i="152" s="1"/>
  <c r="F10" i="152" s="1"/>
  <c r="G10" i="152" s="1"/>
  <c r="H10" i="152" s="1"/>
  <c r="B24" i="152" l="1"/>
  <c r="B27" i="152" s="1"/>
  <c r="C24" i="152"/>
  <c r="C27" i="152" s="1"/>
  <c r="F29" i="152"/>
  <c r="B29" i="152"/>
  <c r="E24" i="152"/>
  <c r="E27" i="152" s="1"/>
  <c r="B50" i="152"/>
  <c r="B52" i="152"/>
  <c r="B51" i="152"/>
  <c r="C29" i="152"/>
  <c r="D24" i="152"/>
  <c r="D27" i="152" s="1"/>
  <c r="B41" i="85"/>
  <c r="B40" i="85"/>
  <c r="I55" i="151"/>
  <c r="H55" i="151"/>
  <c r="G55" i="151"/>
  <c r="F55" i="151"/>
  <c r="E55" i="151"/>
  <c r="D55" i="151"/>
  <c r="C55" i="151"/>
  <c r="B55" i="151"/>
  <c r="F46" i="151"/>
  <c r="E46" i="151"/>
  <c r="D46" i="151"/>
  <c r="C46" i="151"/>
  <c r="B46" i="151"/>
  <c r="I37" i="151"/>
  <c r="H37" i="151"/>
  <c r="G37" i="151"/>
  <c r="F37" i="151"/>
  <c r="F48" i="151" s="1"/>
  <c r="F53" i="151" s="1"/>
  <c r="E37" i="151"/>
  <c r="E48" i="151" s="1"/>
  <c r="E53" i="151" s="1"/>
  <c r="D37" i="151"/>
  <c r="C37" i="151"/>
  <c r="C48" i="151" s="1"/>
  <c r="C53" i="151" s="1"/>
  <c r="B37" i="151"/>
  <c r="B48" i="151" s="1"/>
  <c r="B53" i="151" s="1"/>
  <c r="F29" i="151"/>
  <c r="B29" i="151"/>
  <c r="I22" i="151"/>
  <c r="I29" i="151" s="1"/>
  <c r="H22" i="151"/>
  <c r="H29" i="151" s="1"/>
  <c r="G22" i="151"/>
  <c r="G29" i="151" s="1"/>
  <c r="F22" i="151"/>
  <c r="F24" i="151" s="1"/>
  <c r="F27" i="151" s="1"/>
  <c r="F47" i="151" s="1"/>
  <c r="E22" i="151"/>
  <c r="E24" i="151" s="1"/>
  <c r="E27" i="151" s="1"/>
  <c r="E47" i="151" s="1"/>
  <c r="D22" i="151"/>
  <c r="D29" i="151" s="1"/>
  <c r="C22" i="151"/>
  <c r="C29" i="151" s="1"/>
  <c r="B22" i="151"/>
  <c r="B24" i="151" s="1"/>
  <c r="B27" i="151" s="1"/>
  <c r="B47" i="151" s="1"/>
  <c r="I17" i="151"/>
  <c r="H17" i="151"/>
  <c r="G17" i="151"/>
  <c r="F17" i="151"/>
  <c r="E17" i="151"/>
  <c r="D17" i="151"/>
  <c r="C17" i="151"/>
  <c r="B17" i="151"/>
  <c r="E13" i="151"/>
  <c r="D13" i="151"/>
  <c r="C13" i="151"/>
  <c r="B13" i="151"/>
  <c r="C10" i="151"/>
  <c r="D10" i="151" s="1"/>
  <c r="E10" i="151" s="1"/>
  <c r="F10" i="151" s="1"/>
  <c r="G10" i="151" s="1"/>
  <c r="H10" i="151" s="1"/>
  <c r="I10" i="151" s="1"/>
  <c r="I97" i="1"/>
  <c r="O97" i="1"/>
  <c r="F52" i="151" l="1"/>
  <c r="F51" i="151"/>
  <c r="F50" i="151"/>
  <c r="E50" i="151"/>
  <c r="E52" i="151"/>
  <c r="E51" i="151"/>
  <c r="B52" i="151"/>
  <c r="B51" i="151"/>
  <c r="B50" i="151"/>
  <c r="C24" i="151"/>
  <c r="C27" i="151" s="1"/>
  <c r="C47" i="151" s="1"/>
  <c r="E29" i="151"/>
  <c r="D24" i="151"/>
  <c r="D27" i="151" s="1"/>
  <c r="D47" i="151" s="1"/>
  <c r="D48" i="151"/>
  <c r="D53" i="151" s="1"/>
  <c r="B41" i="150"/>
  <c r="I55" i="150"/>
  <c r="H55" i="150"/>
  <c r="G55" i="150"/>
  <c r="B55" i="150"/>
  <c r="I37" i="150"/>
  <c r="H37" i="150"/>
  <c r="G37" i="150"/>
  <c r="F37" i="150"/>
  <c r="E37" i="150"/>
  <c r="D37" i="150"/>
  <c r="C37" i="150"/>
  <c r="B37" i="150"/>
  <c r="B53" i="150" s="1"/>
  <c r="I29" i="150"/>
  <c r="E29" i="150"/>
  <c r="I22" i="150"/>
  <c r="H22" i="150"/>
  <c r="H29" i="150" s="1"/>
  <c r="G22" i="150"/>
  <c r="G29" i="150" s="1"/>
  <c r="F22" i="150"/>
  <c r="F24" i="150" s="1"/>
  <c r="F27" i="150" s="1"/>
  <c r="E22" i="150"/>
  <c r="E24" i="150" s="1"/>
  <c r="E27" i="150" s="1"/>
  <c r="D22" i="150"/>
  <c r="D29" i="150" s="1"/>
  <c r="C22" i="150"/>
  <c r="C24" i="150" s="1"/>
  <c r="C27" i="150" s="1"/>
  <c r="B22" i="150"/>
  <c r="B24" i="150" s="1"/>
  <c r="B27" i="150" s="1"/>
  <c r="I17" i="150"/>
  <c r="H17" i="150"/>
  <c r="G17" i="150"/>
  <c r="F17" i="150"/>
  <c r="E17" i="150"/>
  <c r="D17" i="150"/>
  <c r="C17" i="150"/>
  <c r="B17" i="150"/>
  <c r="E13" i="150"/>
  <c r="D13" i="150"/>
  <c r="C13" i="150"/>
  <c r="B13" i="150"/>
  <c r="C10" i="150"/>
  <c r="D10" i="150" s="1"/>
  <c r="E10" i="150" s="1"/>
  <c r="F10" i="150" s="1"/>
  <c r="G10" i="150" s="1"/>
  <c r="H10" i="150" s="1"/>
  <c r="I10" i="150" s="1"/>
  <c r="F29" i="1"/>
  <c r="F97" i="1"/>
  <c r="E29" i="1"/>
  <c r="J97" i="1"/>
  <c r="O29" i="1"/>
  <c r="C97" i="1"/>
  <c r="I29" i="1"/>
  <c r="E97" i="1"/>
  <c r="D51" i="151" l="1"/>
  <c r="D50" i="151"/>
  <c r="D52" i="151"/>
  <c r="C52" i="151"/>
  <c r="C51" i="151"/>
  <c r="C50" i="151"/>
  <c r="B52" i="150"/>
  <c r="B51" i="150"/>
  <c r="B50" i="150"/>
  <c r="D24" i="150"/>
  <c r="D27" i="150" s="1"/>
  <c r="B29" i="150"/>
  <c r="F29" i="150"/>
  <c r="C29" i="150"/>
  <c r="B41" i="149"/>
  <c r="I55" i="149"/>
  <c r="H55" i="149"/>
  <c r="G55" i="149"/>
  <c r="B55" i="149"/>
  <c r="I37" i="149"/>
  <c r="H37" i="149"/>
  <c r="G37" i="149"/>
  <c r="F37" i="149"/>
  <c r="E37" i="149"/>
  <c r="D37" i="149"/>
  <c r="C37" i="149"/>
  <c r="B37" i="149"/>
  <c r="B53" i="149" s="1"/>
  <c r="I29" i="149"/>
  <c r="E29" i="149"/>
  <c r="I22" i="149"/>
  <c r="H22" i="149"/>
  <c r="H29" i="149" s="1"/>
  <c r="G22" i="149"/>
  <c r="G29" i="149" s="1"/>
  <c r="F22" i="149"/>
  <c r="F24" i="149" s="1"/>
  <c r="F27" i="149" s="1"/>
  <c r="E22" i="149"/>
  <c r="E24" i="149" s="1"/>
  <c r="E27" i="149" s="1"/>
  <c r="D22" i="149"/>
  <c r="D29" i="149" s="1"/>
  <c r="C22" i="149"/>
  <c r="C29" i="149" s="1"/>
  <c r="B22" i="149"/>
  <c r="B24" i="149" s="1"/>
  <c r="B27" i="149" s="1"/>
  <c r="I17" i="149"/>
  <c r="H17" i="149"/>
  <c r="G17" i="149"/>
  <c r="F17" i="149"/>
  <c r="E17" i="149"/>
  <c r="D17" i="149"/>
  <c r="C17" i="149"/>
  <c r="B17" i="149"/>
  <c r="E13" i="149"/>
  <c r="D13" i="149"/>
  <c r="C13" i="149"/>
  <c r="B13" i="149"/>
  <c r="C10" i="149"/>
  <c r="D10" i="149" s="1"/>
  <c r="E10" i="149" s="1"/>
  <c r="F10" i="149" s="1"/>
  <c r="G10" i="149" s="1"/>
  <c r="H10" i="149" s="1"/>
  <c r="I10" i="149" s="1"/>
  <c r="I76" i="1"/>
  <c r="C29" i="1"/>
  <c r="B52" i="149" l="1"/>
  <c r="B51" i="149"/>
  <c r="B50" i="149"/>
  <c r="D24" i="149"/>
  <c r="D27" i="149" s="1"/>
  <c r="B29" i="149"/>
  <c r="F29" i="149"/>
  <c r="C24" i="149"/>
  <c r="C27" i="149" s="1"/>
  <c r="B16" i="45"/>
  <c r="F16" i="45"/>
  <c r="B21" i="45"/>
  <c r="B26" i="45"/>
  <c r="AA41" i="45"/>
  <c r="AA43" i="45"/>
  <c r="AC42" i="45"/>
  <c r="F21" i="45"/>
  <c r="B17" i="45"/>
  <c r="B20" i="45"/>
  <c r="B40" i="45"/>
  <c r="B41" i="45"/>
  <c r="B24" i="45"/>
  <c r="B27" i="45" s="1"/>
  <c r="B47" i="45" s="1"/>
  <c r="B33" i="45"/>
  <c r="B29" i="45"/>
  <c r="B37" i="45"/>
  <c r="B42" i="45"/>
  <c r="B13" i="45"/>
  <c r="C101" i="1"/>
  <c r="J29" i="1"/>
  <c r="B34" i="45" l="1"/>
  <c r="B50" i="45"/>
  <c r="B55" i="45"/>
  <c r="B51" i="45"/>
  <c r="B52" i="45"/>
  <c r="G32" i="97"/>
  <c r="C32" i="97"/>
  <c r="C41" i="97"/>
  <c r="C40" i="97"/>
  <c r="C37" i="97"/>
  <c r="C46" i="97"/>
  <c r="C22" i="97"/>
  <c r="C29" i="97" s="1"/>
  <c r="C17" i="97"/>
  <c r="C13" i="97"/>
  <c r="F101" i="1"/>
  <c r="E76" i="1"/>
  <c r="E101" i="1"/>
  <c r="F76" i="1"/>
  <c r="O76" i="1"/>
  <c r="J101" i="1"/>
  <c r="J76" i="1"/>
  <c r="C76" i="1"/>
  <c r="O101" i="1"/>
  <c r="I101" i="1"/>
  <c r="R39" i="126" l="1"/>
  <c r="C35" i="126"/>
  <c r="C37" i="126" s="1"/>
  <c r="C21" i="126"/>
  <c r="C33" i="126" s="1"/>
  <c r="C34" i="126" s="1"/>
  <c r="C17" i="126"/>
  <c r="C24" i="126"/>
  <c r="C25" i="126" s="1"/>
  <c r="C27" i="126" s="1"/>
  <c r="C47" i="126" s="1"/>
  <c r="C29" i="126"/>
  <c r="C40" i="126"/>
  <c r="C41" i="126" s="1"/>
  <c r="C13" i="126"/>
  <c r="C46" i="126"/>
  <c r="C52" i="126" l="1"/>
  <c r="C51" i="126"/>
  <c r="C55" i="126"/>
  <c r="C50" i="126"/>
  <c r="D22" i="136"/>
  <c r="C42" i="136"/>
  <c r="C41" i="136"/>
  <c r="C40" i="136"/>
  <c r="C22" i="136"/>
  <c r="C12" i="136"/>
  <c r="C46" i="136" s="1"/>
  <c r="C17" i="136" l="1"/>
  <c r="C29" i="136"/>
  <c r="B41" i="131"/>
  <c r="B37" i="131"/>
  <c r="B48" i="131" s="1"/>
  <c r="B53" i="131" s="1"/>
  <c r="B25" i="131"/>
  <c r="B22" i="131"/>
  <c r="B29" i="131" s="1"/>
  <c r="B17" i="131"/>
  <c r="B13" i="131"/>
  <c r="B55" i="131"/>
  <c r="B46" i="131"/>
  <c r="B24" i="131" l="1"/>
  <c r="B27" i="131" s="1"/>
  <c r="B47" i="131" s="1"/>
  <c r="B50" i="131" s="1"/>
  <c r="B52" i="131"/>
  <c r="B51" i="131"/>
  <c r="B25" i="58"/>
  <c r="B41" i="58"/>
  <c r="B55" i="58"/>
  <c r="B48" i="58"/>
  <c r="B53" i="58" s="1"/>
  <c r="B46" i="58"/>
  <c r="B37" i="58"/>
  <c r="B29" i="58"/>
  <c r="B27" i="58"/>
  <c r="B47" i="58" s="1"/>
  <c r="B22" i="58"/>
  <c r="B24" i="58" s="1"/>
  <c r="B17" i="58"/>
  <c r="B13" i="58"/>
  <c r="B52" i="58" l="1"/>
  <c r="B51" i="58"/>
  <c r="B50" i="58"/>
  <c r="C48" i="108"/>
  <c r="B48" i="108"/>
  <c r="F35" i="108"/>
  <c r="E35" i="108"/>
  <c r="D35" i="108"/>
  <c r="C35" i="108"/>
  <c r="B35" i="108"/>
  <c r="B40" i="108"/>
  <c r="B41" i="108" s="1"/>
  <c r="B55" i="108" s="1"/>
  <c r="B21" i="108"/>
  <c r="B29" i="108"/>
  <c r="B24" i="108"/>
  <c r="B27" i="108" s="1"/>
  <c r="B47" i="108" s="1"/>
  <c r="B17" i="108"/>
  <c r="B13" i="108"/>
  <c r="B46" i="108"/>
  <c r="B53" i="108" l="1"/>
  <c r="B50" i="108"/>
  <c r="B51" i="108"/>
  <c r="B52" i="108"/>
  <c r="B41" i="134"/>
  <c r="B35" i="134"/>
  <c r="B37" i="134" s="1"/>
  <c r="B48" i="134" s="1"/>
  <c r="B22" i="134"/>
  <c r="B29" i="134" s="1"/>
  <c r="B17" i="134"/>
  <c r="B13" i="134"/>
  <c r="B55" i="134"/>
  <c r="B46" i="134"/>
  <c r="B53" i="134" l="1"/>
  <c r="B24" i="134"/>
  <c r="B27" i="134" s="1"/>
  <c r="B47" i="134" s="1"/>
  <c r="B50" i="134" s="1"/>
  <c r="B52" i="134"/>
  <c r="B51" i="134"/>
  <c r="C25" i="138"/>
  <c r="B40" i="138"/>
  <c r="B41" i="138" s="1"/>
  <c r="B55" i="138" s="1"/>
  <c r="G46" i="138"/>
  <c r="F46" i="138"/>
  <c r="E46" i="138"/>
  <c r="D46" i="138"/>
  <c r="C46" i="138"/>
  <c r="B46" i="138"/>
  <c r="B29" i="138"/>
  <c r="B27" i="138"/>
  <c r="B47" i="138" s="1"/>
  <c r="B50" i="138" s="1"/>
  <c r="B24" i="138"/>
  <c r="C22" i="138"/>
  <c r="C24" i="138" s="1"/>
  <c r="C17" i="138"/>
  <c r="G16" i="138"/>
  <c r="C16" i="138"/>
  <c r="C13" i="138"/>
  <c r="C12" i="138"/>
  <c r="G12" i="138"/>
  <c r="C41" i="138"/>
  <c r="C40" i="138"/>
  <c r="C29" i="138"/>
  <c r="B13" i="138"/>
  <c r="B22" i="138"/>
  <c r="B17" i="138"/>
  <c r="C53" i="138"/>
  <c r="B53" i="138" l="1"/>
  <c r="C27" i="138"/>
  <c r="C47" i="138" s="1"/>
  <c r="C50" i="138" s="1"/>
  <c r="C55" i="138"/>
  <c r="C51" i="138"/>
  <c r="B52" i="138"/>
  <c r="B51" i="138"/>
  <c r="C52" i="138"/>
  <c r="C40" i="116"/>
  <c r="C41" i="116" s="1"/>
  <c r="C46" i="116" l="1"/>
  <c r="C37" i="116"/>
  <c r="C13" i="116"/>
  <c r="C22" i="116"/>
  <c r="C29" i="116" s="1"/>
  <c r="C34" i="116" s="1"/>
  <c r="C17" i="116"/>
  <c r="C40" i="137" l="1"/>
  <c r="C41" i="137" s="1"/>
  <c r="C32" i="137"/>
  <c r="G32" i="137"/>
  <c r="C42" i="137"/>
  <c r="C37" i="137"/>
  <c r="C22" i="137"/>
  <c r="C17" i="137"/>
  <c r="C13" i="137"/>
  <c r="C29" i="137" l="1"/>
  <c r="C27" i="76"/>
  <c r="C40" i="76"/>
  <c r="C39" i="76"/>
  <c r="C41" i="76" s="1"/>
  <c r="C32" i="76"/>
  <c r="G32" i="76"/>
  <c r="C37" i="76"/>
  <c r="C47" i="76"/>
  <c r="C22" i="76"/>
  <c r="C29" i="76" s="1"/>
  <c r="C17" i="76"/>
  <c r="C13" i="76"/>
  <c r="C50" i="76" l="1"/>
  <c r="C51" i="76"/>
  <c r="C52" i="76"/>
  <c r="C14" i="111"/>
  <c r="C31" i="111"/>
  <c r="C32" i="111"/>
  <c r="C36" i="111"/>
  <c r="C37" i="111" s="1"/>
  <c r="C41" i="111"/>
  <c r="C40" i="111"/>
  <c r="C22" i="111"/>
  <c r="C29" i="111" s="1"/>
  <c r="C17" i="111"/>
  <c r="C13" i="111"/>
  <c r="C31" i="89" l="1"/>
  <c r="C30" i="89"/>
  <c r="C32" i="89"/>
  <c r="C37" i="89"/>
  <c r="C22" i="89"/>
  <c r="C29" i="89" s="1"/>
  <c r="C17" i="89"/>
  <c r="C13" i="89"/>
  <c r="C40" i="28" l="1"/>
  <c r="C41" i="28"/>
  <c r="C30" i="28"/>
  <c r="C32" i="28"/>
  <c r="G32" i="28"/>
  <c r="C42" i="28"/>
  <c r="C46" i="28"/>
  <c r="C37" i="28"/>
  <c r="C22" i="28"/>
  <c r="C17" i="28"/>
  <c r="C13" i="28"/>
  <c r="C29" i="28" l="1"/>
  <c r="C40" i="19"/>
  <c r="C41" i="19" s="1"/>
  <c r="C32" i="19"/>
  <c r="C36" i="19"/>
  <c r="C37" i="19" s="1"/>
  <c r="C22" i="19"/>
  <c r="C17" i="19"/>
  <c r="C13" i="19"/>
  <c r="C29" i="19" l="1"/>
  <c r="C40" i="54"/>
  <c r="C32" i="54"/>
  <c r="C37" i="54"/>
  <c r="C41" i="54"/>
  <c r="C46" i="54"/>
  <c r="C22" i="54"/>
  <c r="C17" i="54"/>
  <c r="C13" i="54"/>
  <c r="C29" i="54" l="1"/>
  <c r="C40" i="8"/>
  <c r="C41" i="8" s="1"/>
  <c r="C16" i="8"/>
  <c r="C17" i="8" s="1"/>
  <c r="C32" i="8"/>
  <c r="G32" i="8"/>
  <c r="C22" i="8"/>
  <c r="C29" i="8" s="1"/>
  <c r="C42" i="8"/>
  <c r="C37" i="8"/>
  <c r="C13" i="8"/>
  <c r="B14" i="73" l="1"/>
  <c r="B41" i="73"/>
  <c r="B30" i="73"/>
  <c r="F30" i="73"/>
  <c r="B32" i="73"/>
  <c r="F32" i="73"/>
  <c r="B33" i="73"/>
  <c r="B34" i="73"/>
  <c r="B37" i="73"/>
  <c r="B22" i="73"/>
  <c r="F22" i="73"/>
  <c r="B40" i="73"/>
  <c r="B13" i="73"/>
  <c r="B24" i="73"/>
  <c r="B26" i="73" s="1"/>
  <c r="B27" i="73" s="1"/>
  <c r="B47" i="73" s="1"/>
  <c r="B17" i="73"/>
  <c r="B46" i="73"/>
  <c r="B29" i="73" l="1"/>
  <c r="B50" i="73"/>
  <c r="B55" i="73"/>
  <c r="B51" i="73"/>
  <c r="B52" i="73"/>
  <c r="C40" i="114"/>
  <c r="C41" i="114" s="1"/>
  <c r="C30" i="114"/>
  <c r="C31" i="114"/>
  <c r="C32" i="114"/>
  <c r="C37" i="114"/>
  <c r="C22" i="114"/>
  <c r="C17" i="114"/>
  <c r="C13" i="114"/>
  <c r="C29" i="114" l="1"/>
  <c r="C31" i="95"/>
  <c r="C42" i="95"/>
  <c r="C40" i="95"/>
  <c r="C41" i="95" s="1"/>
  <c r="C32" i="95"/>
  <c r="G32" i="95"/>
  <c r="C37" i="95"/>
  <c r="C22" i="95"/>
  <c r="C29" i="95" s="1"/>
  <c r="C17" i="95"/>
  <c r="C13" i="95"/>
  <c r="C40" i="103" l="1"/>
  <c r="C41" i="103" s="1"/>
  <c r="C31" i="103"/>
  <c r="C30" i="103"/>
  <c r="C37" i="103"/>
  <c r="C13" i="103"/>
  <c r="C22" i="103"/>
  <c r="C17" i="103"/>
  <c r="C55" i="103"/>
  <c r="C29" i="103" l="1"/>
  <c r="C42" i="48"/>
  <c r="C40" i="48"/>
  <c r="C41" i="48" s="1"/>
  <c r="G36" i="48"/>
  <c r="C36" i="48"/>
  <c r="C37" i="48" s="1"/>
  <c r="C31" i="48"/>
  <c r="C32" i="48"/>
  <c r="C22" i="48"/>
  <c r="C17" i="48"/>
  <c r="C13" i="48"/>
  <c r="C46" i="48"/>
  <c r="C29" i="48" l="1"/>
  <c r="C16" i="83"/>
  <c r="C17" i="83" s="1"/>
  <c r="C42" i="83"/>
  <c r="C41" i="83"/>
  <c r="C40" i="83"/>
  <c r="C32" i="83"/>
  <c r="C37" i="83"/>
  <c r="C22" i="83"/>
  <c r="C29" i="83" s="1"/>
  <c r="C13" i="83"/>
  <c r="K32" i="97" l="1"/>
  <c r="D40" i="97"/>
  <c r="D41" i="97" s="1"/>
  <c r="D13" i="97"/>
  <c r="D22" i="97"/>
  <c r="D17" i="97"/>
  <c r="D46" i="97"/>
  <c r="D29" i="97" l="1"/>
  <c r="C35" i="102"/>
  <c r="G16" i="102"/>
  <c r="C16" i="102"/>
  <c r="C42" i="102"/>
  <c r="C41" i="102"/>
  <c r="C22" i="102"/>
  <c r="C32" i="102"/>
  <c r="C36" i="102"/>
  <c r="C31" i="102"/>
  <c r="C30" i="102"/>
  <c r="C12" i="102"/>
  <c r="C33" i="102"/>
  <c r="C37" i="102"/>
  <c r="C48" i="102" s="1"/>
  <c r="C13" i="102"/>
  <c r="C53" i="102" l="1"/>
  <c r="C29" i="102"/>
  <c r="C17" i="102"/>
  <c r="C42" i="123"/>
  <c r="C40" i="123"/>
  <c r="C41" i="123" s="1"/>
  <c r="C32" i="123"/>
  <c r="C22" i="123"/>
  <c r="C29" i="123" s="1"/>
  <c r="C17" i="123"/>
  <c r="C37" i="123"/>
  <c r="C13" i="123"/>
  <c r="C13" i="98" l="1"/>
  <c r="C40" i="98"/>
  <c r="C41" i="98" s="1"/>
  <c r="D40" i="98"/>
  <c r="C32" i="98"/>
  <c r="C37" i="98"/>
  <c r="C22" i="98"/>
  <c r="C29" i="98" s="1"/>
  <c r="C17" i="98"/>
  <c r="C46" i="98"/>
  <c r="D40" i="89" l="1"/>
  <c r="C40" i="89" s="1"/>
  <c r="C41" i="89" s="1"/>
  <c r="D35" i="89"/>
  <c r="D37" i="89" s="1"/>
  <c r="B48" i="89" s="1"/>
  <c r="B53" i="89" s="1"/>
  <c r="D36" i="89"/>
  <c r="D12" i="89"/>
  <c r="C46" i="89" s="1"/>
  <c r="D46" i="89"/>
  <c r="D22" i="89"/>
  <c r="D29" i="89" s="1"/>
  <c r="D17" i="89"/>
  <c r="D24" i="126" l="1"/>
  <c r="R42" i="126"/>
  <c r="F35" i="126"/>
  <c r="D35" i="126"/>
  <c r="D37" i="126" s="1"/>
  <c r="D46" i="126"/>
  <c r="D13" i="126"/>
  <c r="D21" i="126"/>
  <c r="D33" i="126" s="1"/>
  <c r="D17" i="126"/>
  <c r="D29" i="126"/>
  <c r="D40" i="126"/>
  <c r="D41" i="126" s="1"/>
  <c r="D34" i="126" l="1"/>
  <c r="D25" i="126"/>
  <c r="D27" i="126" s="1"/>
  <c r="D47" i="126" s="1"/>
  <c r="C40" i="15"/>
  <c r="C32" i="15"/>
  <c r="G32" i="15"/>
  <c r="C37" i="15"/>
  <c r="C36" i="15"/>
  <c r="G36" i="15"/>
  <c r="C22" i="15"/>
  <c r="C29" i="15" s="1"/>
  <c r="C17" i="15"/>
  <c r="C13" i="15"/>
  <c r="C12" i="15"/>
  <c r="G12" i="15"/>
  <c r="D55" i="126" l="1"/>
  <c r="D51" i="126"/>
  <c r="D50" i="126"/>
  <c r="D52" i="126"/>
  <c r="B41" i="148"/>
  <c r="B40" i="148"/>
  <c r="I55" i="148"/>
  <c r="H55" i="148"/>
  <c r="G55" i="148"/>
  <c r="B55" i="148"/>
  <c r="I37" i="148"/>
  <c r="H37" i="148"/>
  <c r="G37" i="148"/>
  <c r="F37" i="148"/>
  <c r="E37" i="148"/>
  <c r="D37" i="148"/>
  <c r="C37" i="148"/>
  <c r="B37" i="148"/>
  <c r="B53" i="148" s="1"/>
  <c r="I29" i="148"/>
  <c r="F29" i="148"/>
  <c r="E29" i="148"/>
  <c r="B29" i="148"/>
  <c r="I22" i="148"/>
  <c r="H22" i="148"/>
  <c r="H29" i="148" s="1"/>
  <c r="G22" i="148"/>
  <c r="G29" i="148" s="1"/>
  <c r="F22" i="148"/>
  <c r="F24" i="148" s="1"/>
  <c r="F27" i="148" s="1"/>
  <c r="E22" i="148"/>
  <c r="E24" i="148" s="1"/>
  <c r="E27" i="148" s="1"/>
  <c r="D22" i="148"/>
  <c r="D29" i="148" s="1"/>
  <c r="C22" i="148"/>
  <c r="C29" i="148" s="1"/>
  <c r="B22" i="148"/>
  <c r="B24" i="148" s="1"/>
  <c r="B27" i="148" s="1"/>
  <c r="I17" i="148"/>
  <c r="H17" i="148"/>
  <c r="G17" i="148"/>
  <c r="F17" i="148"/>
  <c r="E17" i="148"/>
  <c r="D17" i="148"/>
  <c r="C17" i="148"/>
  <c r="B17" i="148"/>
  <c r="E13" i="148"/>
  <c r="D13" i="148"/>
  <c r="C13" i="148"/>
  <c r="B13" i="148"/>
  <c r="C10" i="148"/>
  <c r="D10" i="148" s="1"/>
  <c r="E10" i="148" s="1"/>
  <c r="F10" i="148" s="1"/>
  <c r="G10" i="148" s="1"/>
  <c r="H10" i="148" s="1"/>
  <c r="I10" i="148" s="1"/>
  <c r="B52" i="148" l="1"/>
  <c r="B51" i="148"/>
  <c r="B50" i="148"/>
  <c r="D24" i="148"/>
  <c r="D27" i="148" s="1"/>
  <c r="C24" i="148"/>
  <c r="C27" i="148" s="1"/>
  <c r="C37" i="133"/>
  <c r="C35" i="133"/>
  <c r="C36" i="133"/>
  <c r="G37" i="133"/>
  <c r="G36" i="133"/>
  <c r="G35" i="133"/>
  <c r="B41" i="133"/>
  <c r="B55" i="133"/>
  <c r="B51" i="133"/>
  <c r="B53" i="133"/>
  <c r="B47" i="133"/>
  <c r="B50" i="133" s="1"/>
  <c r="B46" i="133"/>
  <c r="B29" i="133"/>
  <c r="B27" i="133"/>
  <c r="B24" i="133"/>
  <c r="B22" i="133"/>
  <c r="B17" i="133"/>
  <c r="B13" i="133"/>
  <c r="C41" i="133"/>
  <c r="C48" i="133"/>
  <c r="D48" i="133"/>
  <c r="E48" i="133"/>
  <c r="F48" i="133"/>
  <c r="J37" i="133"/>
  <c r="I37" i="133"/>
  <c r="H37" i="133"/>
  <c r="F37" i="133"/>
  <c r="E37" i="133"/>
  <c r="D37" i="133"/>
  <c r="G47" i="133"/>
  <c r="G27" i="133"/>
  <c r="G46" i="133"/>
  <c r="F46" i="133"/>
  <c r="E46" i="133"/>
  <c r="D46" i="133"/>
  <c r="C46" i="133"/>
  <c r="C13" i="133"/>
  <c r="G22" i="133"/>
  <c r="G17" i="133"/>
  <c r="C22" i="133"/>
  <c r="C29" i="133" s="1"/>
  <c r="C17" i="133"/>
  <c r="C27" i="133"/>
  <c r="C47" i="133" s="1"/>
  <c r="C55" i="133"/>
  <c r="I55" i="1"/>
  <c r="O55" i="1"/>
  <c r="C55" i="1"/>
  <c r="F55" i="1"/>
  <c r="C53" i="133" l="1"/>
  <c r="B52" i="133"/>
  <c r="C50" i="133"/>
  <c r="C52" i="133"/>
  <c r="C51" i="133"/>
  <c r="C31" i="47"/>
  <c r="C32" i="47"/>
  <c r="C37" i="47"/>
  <c r="C35" i="47"/>
  <c r="C36" i="47"/>
  <c r="C30" i="47"/>
  <c r="C12" i="47"/>
  <c r="C13" i="47" s="1"/>
  <c r="C41" i="47"/>
  <c r="C29" i="47"/>
  <c r="C25" i="47"/>
  <c r="C16" i="47"/>
  <c r="C21" i="47"/>
  <c r="C17" i="47"/>
  <c r="C22" i="47"/>
  <c r="C48" i="47"/>
  <c r="C53" i="47" s="1"/>
  <c r="C46" i="47"/>
  <c r="E55" i="1"/>
  <c r="J55" i="1"/>
  <c r="C41" i="64" l="1"/>
  <c r="C40" i="64"/>
  <c r="C48" i="64"/>
  <c r="C47" i="64"/>
  <c r="C29" i="64"/>
  <c r="C27" i="64"/>
  <c r="C22" i="64"/>
  <c r="C17" i="64"/>
  <c r="C13" i="64"/>
  <c r="C55" i="64" l="1"/>
  <c r="C51" i="64"/>
  <c r="C50" i="64"/>
  <c r="C53" i="64"/>
  <c r="C52" i="64"/>
  <c r="C55" i="141" l="1"/>
  <c r="C53" i="141"/>
  <c r="C52" i="141"/>
  <c r="C51" i="141"/>
  <c r="C50" i="141"/>
  <c r="C41" i="141"/>
  <c r="D55" i="141"/>
  <c r="D53" i="141"/>
  <c r="D52" i="141"/>
  <c r="D51" i="141"/>
  <c r="D50" i="141"/>
  <c r="D41" i="141"/>
  <c r="C31" i="132" l="1"/>
  <c r="C32" i="132"/>
  <c r="C41" i="132"/>
  <c r="C40" i="132"/>
  <c r="C48" i="132"/>
  <c r="C53" i="132" s="1"/>
  <c r="C46" i="132"/>
  <c r="C37" i="132"/>
  <c r="C22" i="132"/>
  <c r="C29" i="132" s="1"/>
  <c r="C17" i="132"/>
  <c r="C13" i="132"/>
  <c r="C35" i="131" l="1"/>
  <c r="C41" i="131"/>
  <c r="C37" i="131"/>
  <c r="C48" i="131" s="1"/>
  <c r="C53" i="131" s="1"/>
  <c r="C29" i="131"/>
  <c r="C27" i="131"/>
  <c r="C47" i="131" s="1"/>
  <c r="C22" i="131"/>
  <c r="C24" i="131" s="1"/>
  <c r="C17" i="131"/>
  <c r="C13" i="131"/>
  <c r="C55" i="131"/>
  <c r="C46" i="131"/>
  <c r="C50" i="131" l="1"/>
  <c r="C51" i="131"/>
  <c r="C52" i="131"/>
  <c r="C35" i="72"/>
  <c r="C37" i="72" s="1"/>
  <c r="B48" i="72" s="1"/>
  <c r="B53" i="72" s="1"/>
  <c r="C41" i="72"/>
  <c r="C24" i="72"/>
  <c r="C27" i="72" s="1"/>
  <c r="C47" i="72" s="1"/>
  <c r="D24" i="72"/>
  <c r="E24" i="72"/>
  <c r="C22" i="72"/>
  <c r="C29" i="72" s="1"/>
  <c r="C17" i="72"/>
  <c r="C13" i="72"/>
  <c r="C55" i="72"/>
  <c r="C46" i="72"/>
  <c r="C50" i="72" l="1"/>
  <c r="C51" i="72"/>
  <c r="C52" i="72"/>
  <c r="D30" i="111"/>
  <c r="H30" i="111"/>
  <c r="D35" i="111"/>
  <c r="D12" i="111"/>
  <c r="C46" i="111" s="1"/>
  <c r="D40" i="111"/>
  <c r="D41" i="111" s="1"/>
  <c r="D46" i="111"/>
  <c r="D22" i="111"/>
  <c r="D17" i="111" l="1"/>
  <c r="D29" i="111"/>
  <c r="C41" i="57"/>
  <c r="C33" i="57"/>
  <c r="C36" i="57"/>
  <c r="C17" i="57"/>
  <c r="C21" i="57"/>
  <c r="C24" i="57"/>
  <c r="C27" i="57" s="1"/>
  <c r="C47" i="57" s="1"/>
  <c r="C29" i="57"/>
  <c r="C30" i="57"/>
  <c r="C13" i="57"/>
  <c r="C12" i="57"/>
  <c r="G12" i="57"/>
  <c r="C42" i="57"/>
  <c r="C46" i="57"/>
  <c r="C52" i="57" l="1"/>
  <c r="C55" i="57"/>
  <c r="C51" i="57"/>
  <c r="C50" i="57"/>
  <c r="C13" i="120"/>
  <c r="C22" i="120"/>
  <c r="C29" i="120" s="1"/>
  <c r="C17" i="120"/>
  <c r="C46" i="120"/>
  <c r="C40" i="120"/>
  <c r="C41" i="120" s="1"/>
  <c r="C31" i="120"/>
  <c r="C30" i="120"/>
  <c r="C35" i="120"/>
  <c r="C37" i="120" s="1"/>
  <c r="B48" i="120" s="1"/>
  <c r="B53" i="120" s="1"/>
  <c r="C36" i="120"/>
  <c r="C41" i="13" l="1"/>
  <c r="C40" i="13"/>
  <c r="G36" i="13"/>
  <c r="G35" i="13"/>
  <c r="G32" i="13"/>
  <c r="C32" i="13"/>
  <c r="C35" i="13"/>
  <c r="C30" i="13"/>
  <c r="C22" i="13"/>
  <c r="C17" i="13"/>
  <c r="C55" i="13"/>
  <c r="C46" i="13"/>
  <c r="C29" i="13"/>
  <c r="C24" i="13"/>
  <c r="C27" i="13" s="1"/>
  <c r="C47" i="13" s="1"/>
  <c r="C52" i="13" s="1"/>
  <c r="C13" i="13"/>
  <c r="C50" i="13" l="1"/>
  <c r="C51" i="13"/>
  <c r="C37" i="113"/>
  <c r="C32" i="113"/>
  <c r="C40" i="113"/>
  <c r="C41" i="113" s="1"/>
  <c r="C13" i="113"/>
  <c r="C22" i="113"/>
  <c r="C29" i="113" s="1"/>
  <c r="C17" i="113"/>
  <c r="E10" i="64" l="1"/>
  <c r="F10" i="64" s="1"/>
  <c r="G10" i="64" s="1"/>
  <c r="H10" i="64" s="1"/>
  <c r="I10" i="64" s="1"/>
  <c r="J10" i="64" s="1"/>
  <c r="K10" i="64" s="1"/>
  <c r="L10" i="64" s="1"/>
  <c r="M10" i="64" s="1"/>
  <c r="N10" i="64" s="1"/>
  <c r="C31" i="129" l="1"/>
  <c r="C30" i="129"/>
  <c r="C32" i="129"/>
  <c r="C35" i="129"/>
  <c r="C12" i="129"/>
  <c r="C41" i="129"/>
  <c r="C40" i="129"/>
  <c r="C46" i="129"/>
  <c r="C22" i="129"/>
  <c r="C29" i="129" s="1"/>
  <c r="C17" i="129"/>
  <c r="C13" i="129"/>
  <c r="C40" i="65" l="1"/>
  <c r="C41" i="65"/>
  <c r="C25" i="65"/>
  <c r="C32" i="65"/>
  <c r="C36" i="65"/>
  <c r="C55" i="65"/>
  <c r="C46" i="65"/>
  <c r="C37" i="65"/>
  <c r="C48" i="65" s="1"/>
  <c r="C53" i="65" s="1"/>
  <c r="C22" i="65"/>
  <c r="C24" i="65" s="1"/>
  <c r="C27" i="65" s="1"/>
  <c r="C47" i="65" s="1"/>
  <c r="C17" i="65"/>
  <c r="C13" i="65"/>
  <c r="C52" i="65" l="1"/>
  <c r="C50" i="65"/>
  <c r="C51" i="65"/>
  <c r="C29" i="65"/>
  <c r="C34" i="65" s="1"/>
  <c r="C32" i="63"/>
  <c r="C35" i="63"/>
  <c r="C36" i="63"/>
  <c r="C37" i="63" s="1"/>
  <c r="C13" i="63"/>
  <c r="C24" i="63"/>
  <c r="C42" i="63"/>
  <c r="C40" i="63"/>
  <c r="C41" i="63"/>
  <c r="C22" i="63"/>
  <c r="C29" i="63" s="1"/>
  <c r="C17" i="63"/>
  <c r="C27" i="63"/>
  <c r="C47" i="63" s="1"/>
  <c r="C25" i="63"/>
  <c r="C55" i="63" l="1"/>
  <c r="C50" i="63"/>
  <c r="C52" i="63"/>
  <c r="C51" i="63"/>
  <c r="C37" i="58"/>
  <c r="C35" i="58"/>
  <c r="C36" i="58"/>
  <c r="C12" i="58"/>
  <c r="C41" i="58"/>
  <c r="C22" i="58"/>
  <c r="C17" i="58"/>
  <c r="C13" i="58"/>
  <c r="C29" i="58"/>
  <c r="C55" i="58"/>
  <c r="C48" i="58"/>
  <c r="C53" i="58" s="1"/>
  <c r="C46" i="58"/>
  <c r="D41" i="98" l="1"/>
  <c r="D46" i="98"/>
  <c r="E46" i="98"/>
  <c r="D22" i="98"/>
  <c r="D17" i="98"/>
  <c r="D13" i="98"/>
  <c r="D29" i="98" l="1"/>
  <c r="C41" i="27"/>
  <c r="C40" i="27"/>
  <c r="C32" i="27"/>
  <c r="C29" i="27"/>
  <c r="C31" i="27"/>
  <c r="C30" i="27"/>
  <c r="C34" i="27"/>
  <c r="C37" i="27"/>
  <c r="C35" i="27"/>
  <c r="C36" i="27"/>
  <c r="C12" i="27"/>
  <c r="C17" i="27" s="1"/>
  <c r="G12" i="27"/>
  <c r="C48" i="27"/>
  <c r="C53" i="27" s="1"/>
  <c r="C42" i="27"/>
  <c r="C22" i="27"/>
  <c r="C24" i="27"/>
  <c r="C26" i="27" s="1"/>
  <c r="C27" i="27" s="1"/>
  <c r="C47" i="27" s="1"/>
  <c r="C13" i="27" l="1"/>
  <c r="C55" i="27"/>
  <c r="C51" i="27"/>
  <c r="C52" i="27"/>
  <c r="C50" i="27"/>
  <c r="C55" i="139"/>
  <c r="C53" i="139"/>
  <c r="C52" i="139"/>
  <c r="C51" i="139"/>
  <c r="C50" i="139"/>
  <c r="C41" i="139"/>
  <c r="C40" i="139"/>
  <c r="C30" i="130" l="1"/>
  <c r="C42" i="130"/>
  <c r="C40" i="130"/>
  <c r="C41" i="130"/>
  <c r="C26" i="130"/>
  <c r="C29" i="130"/>
  <c r="C27" i="130"/>
  <c r="C47" i="130" s="1"/>
  <c r="C22" i="130"/>
  <c r="C24" i="130" s="1"/>
  <c r="C17" i="130"/>
  <c r="C13" i="130"/>
  <c r="C55" i="130"/>
  <c r="C46" i="130"/>
  <c r="C50" i="130" l="1"/>
  <c r="C51" i="130"/>
  <c r="C52" i="130"/>
  <c r="C30" i="128"/>
  <c r="C31" i="128"/>
  <c r="C32" i="128"/>
  <c r="C35" i="128"/>
  <c r="C37" i="128"/>
  <c r="C48" i="128" s="1"/>
  <c r="C36" i="128"/>
  <c r="C13" i="128"/>
  <c r="C41" i="128"/>
  <c r="C40" i="128"/>
  <c r="C29" i="128"/>
  <c r="C27" i="128"/>
  <c r="C47" i="128" s="1"/>
  <c r="C22" i="128"/>
  <c r="C24" i="128" s="1"/>
  <c r="C17" i="128"/>
  <c r="C46" i="128"/>
  <c r="C53" i="128" l="1"/>
  <c r="C55" i="128"/>
  <c r="C51" i="128"/>
  <c r="C52" i="128"/>
  <c r="C50" i="128"/>
  <c r="D41" i="54"/>
  <c r="D46" i="54"/>
  <c r="D22" i="54" l="1"/>
  <c r="D17" i="54"/>
  <c r="D13" i="54"/>
  <c r="D29" i="54" l="1"/>
  <c r="K16" i="114"/>
  <c r="D42" i="114"/>
  <c r="D46" i="114"/>
  <c r="D22" i="114"/>
  <c r="D17" i="114"/>
  <c r="D29" i="114" l="1"/>
  <c r="D41" i="94"/>
  <c r="K55" i="94"/>
  <c r="D55" i="94"/>
  <c r="F37" i="94"/>
  <c r="D53" i="94"/>
  <c r="F22" i="94"/>
  <c r="F17" i="94"/>
  <c r="E10" i="94"/>
  <c r="F10" i="94" s="1"/>
  <c r="G10" i="94" s="1"/>
  <c r="H10" i="94" s="1"/>
  <c r="I10" i="94" s="1"/>
  <c r="J10" i="94" s="1"/>
  <c r="K10" i="94" s="1"/>
  <c r="F29" i="94" l="1"/>
  <c r="D50" i="94"/>
  <c r="D52" i="94"/>
  <c r="D51" i="94"/>
  <c r="D37" i="113"/>
  <c r="D32" i="113"/>
  <c r="D12" i="113"/>
  <c r="D22" i="113"/>
  <c r="D29" i="113" s="1"/>
  <c r="D40" i="113"/>
  <c r="D41" i="113" s="1"/>
  <c r="C46" i="113" l="1"/>
  <c r="D17" i="113"/>
  <c r="D46" i="113"/>
  <c r="G46" i="96"/>
  <c r="F46" i="96"/>
  <c r="E46" i="96"/>
  <c r="D46" i="96"/>
  <c r="C46" i="96"/>
  <c r="B46" i="96"/>
  <c r="B13" i="96"/>
  <c r="B27" i="96"/>
  <c r="B47" i="96" s="1"/>
  <c r="B39" i="96"/>
  <c r="B41" i="96"/>
  <c r="B40" i="96"/>
  <c r="B32" i="96"/>
  <c r="B29" i="96"/>
  <c r="B34" i="96"/>
  <c r="B37" i="96"/>
  <c r="B35" i="96"/>
  <c r="B36" i="96"/>
  <c r="B22" i="96"/>
  <c r="B24" i="96" s="1"/>
  <c r="B17" i="96"/>
  <c r="B12" i="96"/>
  <c r="B48" i="96"/>
  <c r="B53" i="96" s="1"/>
  <c r="B50" i="96" l="1"/>
  <c r="B55" i="96"/>
  <c r="B51" i="96"/>
  <c r="B52" i="96"/>
  <c r="E27" i="142"/>
  <c r="E47" i="142" s="1"/>
  <c r="E40" i="142"/>
  <c r="D40" i="142"/>
  <c r="D41" i="142" s="1"/>
  <c r="H29" i="142"/>
  <c r="H37" i="142"/>
  <c r="H22" i="142"/>
  <c r="H17" i="142"/>
  <c r="D16" i="142"/>
  <c r="D22" i="142"/>
  <c r="D29" i="142" s="1"/>
  <c r="D17" i="142"/>
  <c r="D37" i="142"/>
  <c r="D53" i="142" s="1"/>
  <c r="D35" i="142"/>
  <c r="D12" i="142"/>
  <c r="D13" i="142" s="1"/>
  <c r="D24" i="142" l="1"/>
  <c r="D27" i="142" s="1"/>
  <c r="D47" i="142" s="1"/>
  <c r="D50" i="142" s="1"/>
  <c r="E46" i="137"/>
  <c r="D42" i="137"/>
  <c r="D40" i="137"/>
  <c r="D41" i="137" s="1"/>
  <c r="H22" i="137"/>
  <c r="H29" i="137" s="1"/>
  <c r="H17" i="137"/>
  <c r="D22" i="137"/>
  <c r="H12" i="137"/>
  <c r="H46" i="137" s="1"/>
  <c r="D12" i="137"/>
  <c r="C46" i="137" l="1"/>
  <c r="B46" i="137"/>
  <c r="D17" i="137"/>
  <c r="D13" i="137"/>
  <c r="D29" i="137"/>
  <c r="D46" i="137"/>
  <c r="F46" i="137"/>
  <c r="G46" i="137"/>
  <c r="D55" i="142"/>
  <c r="D51" i="142"/>
  <c r="D52" i="142"/>
  <c r="C42" i="34"/>
  <c r="C41" i="34"/>
  <c r="C36" i="34"/>
  <c r="C35" i="34"/>
  <c r="C32" i="34"/>
  <c r="C34" i="34"/>
  <c r="C30" i="34"/>
  <c r="C31" i="34"/>
  <c r="C22" i="34"/>
  <c r="C29" i="34" s="1"/>
  <c r="C17" i="34"/>
  <c r="C13" i="34"/>
  <c r="C12" i="34"/>
  <c r="C55" i="34"/>
  <c r="C46" i="34"/>
  <c r="C37" i="34" l="1"/>
  <c r="C48" i="34" s="1"/>
  <c r="C53" i="34" s="1"/>
  <c r="C24" i="34"/>
  <c r="C27" i="34" s="1"/>
  <c r="C47" i="34" s="1"/>
  <c r="C50" i="34" s="1"/>
  <c r="C52" i="34"/>
  <c r="C51" i="34"/>
  <c r="C39" i="26"/>
  <c r="C41" i="26" s="1"/>
  <c r="C40" i="26"/>
  <c r="C30" i="26"/>
  <c r="C32" i="26"/>
  <c r="C37" i="26"/>
  <c r="C29" i="26"/>
  <c r="C13" i="26"/>
  <c r="C48" i="26"/>
  <c r="C46" i="26"/>
  <c r="C53" i="26" l="1"/>
  <c r="C32" i="121"/>
  <c r="C36" i="121"/>
  <c r="C31" i="121"/>
  <c r="G30" i="121"/>
  <c r="C41" i="121"/>
  <c r="C13" i="121"/>
  <c r="C22" i="121"/>
  <c r="C24" i="121" s="1"/>
  <c r="C25" i="121" s="1"/>
  <c r="C17" i="121"/>
  <c r="C55" i="121"/>
  <c r="C46" i="121"/>
  <c r="C29" i="121" l="1"/>
  <c r="C27" i="121"/>
  <c r="C47" i="121" s="1"/>
  <c r="C50" i="121" s="1"/>
  <c r="C52" i="121"/>
  <c r="C51" i="121"/>
  <c r="B41" i="20"/>
  <c r="B37" i="20"/>
  <c r="B48" i="20" s="1"/>
  <c r="B22" i="20"/>
  <c r="B29" i="20" s="1"/>
  <c r="B17" i="20"/>
  <c r="B13" i="20"/>
  <c r="B55" i="20"/>
  <c r="B46" i="20"/>
  <c r="B53" i="20" l="1"/>
  <c r="B24" i="20"/>
  <c r="B27" i="20" s="1"/>
  <c r="B47" i="20" s="1"/>
  <c r="C41" i="82"/>
  <c r="C51" i="82" s="1"/>
  <c r="C29" i="82"/>
  <c r="C35" i="82"/>
  <c r="C37" i="82" s="1"/>
  <c r="C22" i="82"/>
  <c r="C17" i="82"/>
  <c r="C13" i="82"/>
  <c r="C55" i="82"/>
  <c r="C50" i="82"/>
  <c r="C47" i="82"/>
  <c r="C46" i="82"/>
  <c r="B52" i="20" l="1"/>
  <c r="B50" i="20"/>
  <c r="B51" i="20"/>
  <c r="C52" i="82"/>
  <c r="D42" i="28"/>
  <c r="D40" i="28"/>
  <c r="D41" i="28" s="1"/>
  <c r="D46" i="28"/>
  <c r="D22" i="28"/>
  <c r="D17" i="28"/>
  <c r="D29" i="28" l="1"/>
  <c r="D25" i="76"/>
  <c r="D26" i="76" s="1"/>
  <c r="D13" i="76"/>
  <c r="D22" i="76"/>
  <c r="D29" i="76" s="1"/>
  <c r="D17" i="76"/>
  <c r="D41" i="76"/>
  <c r="D27" i="76" l="1"/>
  <c r="D47" i="76" s="1"/>
  <c r="D50" i="76" s="1"/>
  <c r="D51" i="76"/>
  <c r="D52" i="76"/>
  <c r="D35" i="103"/>
  <c r="D37" i="103" s="1"/>
  <c r="D36" i="103"/>
  <c r="D40" i="103"/>
  <c r="D41" i="103" s="1"/>
  <c r="D55" i="103"/>
  <c r="D22" i="103"/>
  <c r="D17" i="103"/>
  <c r="D13" i="103"/>
  <c r="D29" i="103" l="1"/>
  <c r="B41" i="147"/>
  <c r="I55" i="147"/>
  <c r="H55" i="147"/>
  <c r="G55" i="147"/>
  <c r="B55" i="147"/>
  <c r="I37" i="147"/>
  <c r="H37" i="147"/>
  <c r="G37" i="147"/>
  <c r="F37" i="147"/>
  <c r="E37" i="147"/>
  <c r="D37" i="147"/>
  <c r="C37" i="147"/>
  <c r="B37" i="147"/>
  <c r="B53" i="147" s="1"/>
  <c r="I22" i="147"/>
  <c r="I29" i="147" s="1"/>
  <c r="H22" i="147"/>
  <c r="H29" i="147" s="1"/>
  <c r="G22" i="147"/>
  <c r="G29" i="147" s="1"/>
  <c r="F22" i="147"/>
  <c r="F24" i="147" s="1"/>
  <c r="F27" i="147" s="1"/>
  <c r="E22" i="147"/>
  <c r="E24" i="147" s="1"/>
  <c r="E27" i="147" s="1"/>
  <c r="D22" i="147"/>
  <c r="D29" i="147" s="1"/>
  <c r="C22" i="147"/>
  <c r="C29" i="147" s="1"/>
  <c r="B22" i="147"/>
  <c r="B24" i="147" s="1"/>
  <c r="B27" i="147" s="1"/>
  <c r="I17" i="147"/>
  <c r="H17" i="147"/>
  <c r="G17" i="147"/>
  <c r="F17" i="147"/>
  <c r="E17" i="147"/>
  <c r="D17" i="147"/>
  <c r="C17" i="147"/>
  <c r="B17" i="147"/>
  <c r="E13" i="147"/>
  <c r="D13" i="147"/>
  <c r="C13" i="147"/>
  <c r="B13" i="147"/>
  <c r="C10" i="147"/>
  <c r="D10" i="147" s="1"/>
  <c r="E10" i="147" s="1"/>
  <c r="F10" i="147" s="1"/>
  <c r="G10" i="147" s="1"/>
  <c r="H10" i="147" s="1"/>
  <c r="I10" i="147" s="1"/>
  <c r="B52" i="147" l="1"/>
  <c r="B51" i="147"/>
  <c r="B50" i="147"/>
  <c r="C24" i="147"/>
  <c r="C27" i="147" s="1"/>
  <c r="E29" i="147"/>
  <c r="D24" i="147"/>
  <c r="D27" i="147" s="1"/>
  <c r="B29" i="147"/>
  <c r="F29" i="147"/>
  <c r="C51" i="134"/>
  <c r="C50" i="134"/>
  <c r="C48" i="134"/>
  <c r="C53" i="134" s="1"/>
  <c r="C47" i="134"/>
  <c r="C55" i="134" s="1"/>
  <c r="C46" i="134"/>
  <c r="C41" i="134"/>
  <c r="C37" i="134"/>
  <c r="C35" i="134"/>
  <c r="C22" i="134"/>
  <c r="C29" i="134" s="1"/>
  <c r="C17" i="134"/>
  <c r="C13" i="134"/>
  <c r="I57" i="1"/>
  <c r="C57" i="1"/>
  <c r="J57" i="1"/>
  <c r="O57" i="1"/>
  <c r="C52" i="134" l="1"/>
  <c r="C24" i="134"/>
  <c r="C27" i="134" s="1"/>
  <c r="C41" i="108"/>
  <c r="C29" i="108"/>
  <c r="C24" i="108"/>
  <c r="C27" i="108" s="1"/>
  <c r="C47" i="108" s="1"/>
  <c r="C17" i="108"/>
  <c r="C13" i="108"/>
  <c r="C55" i="108"/>
  <c r="C53" i="108"/>
  <c r="C46" i="108"/>
  <c r="F57" i="1"/>
  <c r="E57" i="1"/>
  <c r="C52" i="108" l="1"/>
  <c r="C50" i="108"/>
  <c r="C51" i="108"/>
  <c r="E41" i="140"/>
  <c r="E40" i="140"/>
  <c r="C42" i="80" l="1"/>
  <c r="B42" i="80"/>
  <c r="B41" i="80"/>
  <c r="B40" i="80"/>
  <c r="C41" i="80"/>
  <c r="C40" i="80"/>
  <c r="B37" i="80"/>
  <c r="B35" i="80"/>
  <c r="B36" i="80"/>
  <c r="B55" i="80"/>
  <c r="B51" i="80"/>
  <c r="B50" i="80"/>
  <c r="B48" i="80"/>
  <c r="B53" i="80" s="1"/>
  <c r="B47" i="80"/>
  <c r="B52" i="80" s="1"/>
  <c r="B46" i="80"/>
  <c r="C55" i="80"/>
  <c r="C51" i="80"/>
  <c r="C48" i="80"/>
  <c r="C53" i="80" s="1"/>
  <c r="C47" i="80"/>
  <c r="C50" i="80" s="1"/>
  <c r="C46" i="80"/>
  <c r="C35" i="80"/>
  <c r="C37" i="80"/>
  <c r="C36" i="80"/>
  <c r="B16" i="80"/>
  <c r="C16" i="80"/>
  <c r="B21" i="80"/>
  <c r="C21" i="80"/>
  <c r="B29" i="80"/>
  <c r="B24" i="80"/>
  <c r="B27" i="80" s="1"/>
  <c r="C29" i="80"/>
  <c r="C24" i="80"/>
  <c r="C27" i="80" s="1"/>
  <c r="B17" i="80"/>
  <c r="C17" i="80"/>
  <c r="B13" i="80"/>
  <c r="B12" i="80"/>
  <c r="C13" i="80"/>
  <c r="C52" i="80" l="1"/>
  <c r="D30" i="116"/>
  <c r="H35" i="116"/>
  <c r="H37" i="116" s="1"/>
  <c r="H36" i="116"/>
  <c r="D37" i="116" l="1"/>
  <c r="D40" i="116"/>
  <c r="D41" i="116" s="1"/>
  <c r="D22" i="116"/>
  <c r="D17" i="116"/>
  <c r="D13" i="116"/>
  <c r="D46" i="116"/>
  <c r="D29" i="116" l="1"/>
  <c r="D34" i="116" s="1"/>
  <c r="D40" i="19"/>
  <c r="D41" i="19" s="1"/>
  <c r="D12" i="19"/>
  <c r="C46" i="19" s="1"/>
  <c r="D22" i="19"/>
  <c r="D29" i="19" s="1"/>
  <c r="D17" i="19"/>
  <c r="D46" i="19" l="1"/>
  <c r="D42" i="8"/>
  <c r="E42" i="8"/>
  <c r="F42" i="8"/>
  <c r="G42" i="8"/>
  <c r="D41" i="8"/>
  <c r="D40" i="8"/>
  <c r="E40" i="8"/>
  <c r="E41" i="8" s="1"/>
  <c r="F41" i="8"/>
  <c r="F40" i="8"/>
  <c r="G40" i="8"/>
  <c r="G41" i="8" s="1"/>
  <c r="D16" i="8"/>
  <c r="D17" i="8" s="1"/>
  <c r="H16" i="8"/>
  <c r="E16" i="8"/>
  <c r="E22" i="8" s="1"/>
  <c r="E29" i="8" s="1"/>
  <c r="I16" i="8"/>
  <c r="F17" i="8"/>
  <c r="G16" i="8"/>
  <c r="G17" i="8"/>
  <c r="E31" i="8"/>
  <c r="D31" i="8" s="1"/>
  <c r="E30" i="8"/>
  <c r="D30" i="8" s="1"/>
  <c r="F31" i="8"/>
  <c r="F30" i="8"/>
  <c r="E32" i="8"/>
  <c r="D32" i="8" s="1"/>
  <c r="E35" i="8"/>
  <c r="D35" i="8" s="1"/>
  <c r="F35" i="8"/>
  <c r="F37" i="8" s="1"/>
  <c r="F36" i="8"/>
  <c r="E36" i="8" s="1"/>
  <c r="D36" i="8" s="1"/>
  <c r="G37" i="8"/>
  <c r="D46" i="8"/>
  <c r="D12" i="8"/>
  <c r="C46" i="8" s="1"/>
  <c r="E13" i="8"/>
  <c r="F13" i="8"/>
  <c r="F22" i="8"/>
  <c r="F29" i="8" s="1"/>
  <c r="G22" i="8"/>
  <c r="G29" i="8" s="1"/>
  <c r="G13" i="8"/>
  <c r="D37" i="8" l="1"/>
  <c r="E17" i="8"/>
  <c r="E37" i="8"/>
  <c r="D22" i="8"/>
  <c r="D47" i="3"/>
  <c r="D48" i="3"/>
  <c r="D46" i="3"/>
  <c r="E22" i="3"/>
  <c r="E16" i="3" s="1"/>
  <c r="E17" i="3" s="1"/>
  <c r="D26" i="3"/>
  <c r="D27" i="3" s="1"/>
  <c r="D41" i="3"/>
  <c r="C42" i="3"/>
  <c r="D42" i="3"/>
  <c r="D55" i="3"/>
  <c r="D30" i="3"/>
  <c r="D31" i="3"/>
  <c r="H30" i="3"/>
  <c r="H32" i="3"/>
  <c r="D33" i="3"/>
  <c r="D37" i="3"/>
  <c r="D35" i="3"/>
  <c r="D36" i="3"/>
  <c r="C53" i="3"/>
  <c r="C52" i="3"/>
  <c r="C51" i="3"/>
  <c r="C50" i="3"/>
  <c r="C55" i="3"/>
  <c r="C41" i="3"/>
  <c r="D50" i="3"/>
  <c r="D53" i="3"/>
  <c r="D13" i="3"/>
  <c r="C48" i="8" l="1"/>
  <c r="C53" i="8" s="1"/>
  <c r="D48" i="8"/>
  <c r="D53" i="8" s="1"/>
  <c r="D29" i="8"/>
  <c r="C24" i="8"/>
  <c r="C27" i="8" s="1"/>
  <c r="C47" i="8" s="1"/>
  <c r="D24" i="8"/>
  <c r="D27" i="8" s="1"/>
  <c r="D47" i="8" s="1"/>
  <c r="D50" i="8" s="1"/>
  <c r="D22" i="3"/>
  <c r="D16" i="3" s="1"/>
  <c r="D17" i="3" s="1"/>
  <c r="D29" i="3"/>
  <c r="D52" i="3"/>
  <c r="D51" i="3"/>
  <c r="C30" i="45"/>
  <c r="C26" i="45"/>
  <c r="C16" i="45"/>
  <c r="C20" i="45"/>
  <c r="G16" i="45"/>
  <c r="G20" i="45"/>
  <c r="C42" i="45"/>
  <c r="C41" i="45"/>
  <c r="C40" i="45"/>
  <c r="C12" i="45"/>
  <c r="B46" i="45" s="1"/>
  <c r="G12" i="45"/>
  <c r="C31" i="45"/>
  <c r="G31" i="45"/>
  <c r="G30" i="45"/>
  <c r="C32" i="45"/>
  <c r="G32" i="45"/>
  <c r="C33" i="45"/>
  <c r="C36" i="45"/>
  <c r="C37" i="45" s="1"/>
  <c r="G36" i="45"/>
  <c r="G35" i="45"/>
  <c r="C46" i="45"/>
  <c r="C29" i="45"/>
  <c r="C24" i="45"/>
  <c r="D51" i="8" l="1"/>
  <c r="C50" i="8"/>
  <c r="C55" i="8"/>
  <c r="C52" i="8"/>
  <c r="C51" i="8"/>
  <c r="D52" i="8"/>
  <c r="D55" i="8"/>
  <c r="C27" i="45"/>
  <c r="C47" i="45" s="1"/>
  <c r="C55" i="45" s="1"/>
  <c r="B48" i="45"/>
  <c r="B53" i="45" s="1"/>
  <c r="C17" i="45"/>
  <c r="C13" i="45"/>
  <c r="C14" i="45"/>
  <c r="C34" i="45"/>
  <c r="C51" i="45"/>
  <c r="C50" i="45"/>
  <c r="C52" i="45"/>
  <c r="D31" i="48"/>
  <c r="D32" i="48"/>
  <c r="H32" i="48"/>
  <c r="D29" i="48"/>
  <c r="D13" i="48"/>
  <c r="D22" i="48"/>
  <c r="D17" i="48"/>
  <c r="D40" i="48"/>
  <c r="D41" i="48" s="1"/>
  <c r="D46" i="48"/>
  <c r="D42" i="123" l="1"/>
  <c r="D40" i="123"/>
  <c r="D41" i="123"/>
  <c r="D12" i="123"/>
  <c r="C46" i="123" s="1"/>
  <c r="D22" i="123"/>
  <c r="D17" i="123" l="1"/>
  <c r="D29" i="123"/>
  <c r="D46" i="123"/>
  <c r="D40" i="15"/>
  <c r="D16" i="15"/>
  <c r="D22" i="15" s="1"/>
  <c r="B24" i="15" s="1"/>
  <c r="B27" i="15" s="1"/>
  <c r="D12" i="15"/>
  <c r="C46" i="15" s="1"/>
  <c r="D46" i="15" l="1"/>
  <c r="D29" i="15"/>
  <c r="D17" i="15"/>
  <c r="D40" i="95"/>
  <c r="D44" i="95"/>
  <c r="D16" i="95"/>
  <c r="D42" i="95"/>
  <c r="D41" i="95"/>
  <c r="D12" i="95"/>
  <c r="D17" i="95" l="1"/>
  <c r="D46" i="95"/>
  <c r="C46" i="95"/>
  <c r="D22" i="95"/>
  <c r="D44" i="83"/>
  <c r="D12" i="83"/>
  <c r="C46" i="83" s="1"/>
  <c r="D29" i="95" l="1"/>
  <c r="D42" i="83"/>
  <c r="D40" i="83"/>
  <c r="D41" i="83" s="1"/>
  <c r="D16" i="83"/>
  <c r="D22" i="83"/>
  <c r="D17" i="83"/>
  <c r="D46" i="83"/>
  <c r="D29" i="83" l="1"/>
  <c r="H12" i="15"/>
  <c r="D13" i="15" s="1"/>
  <c r="H16" i="15"/>
  <c r="C14" i="73" l="1"/>
  <c r="C30" i="73" l="1"/>
  <c r="C40" i="73"/>
  <c r="C41" i="73" s="1"/>
  <c r="C32" i="73"/>
  <c r="G32" i="73"/>
  <c r="C33" i="73"/>
  <c r="C37" i="73"/>
  <c r="C22" i="73"/>
  <c r="C17" i="73"/>
  <c r="C13" i="73"/>
  <c r="C29" i="73" l="1"/>
  <c r="C34" i="73" s="1"/>
  <c r="D42" i="136"/>
  <c r="D40" i="136"/>
  <c r="D41" i="136" s="1"/>
  <c r="D17" i="136"/>
  <c r="D13" i="136"/>
  <c r="D29" i="136" l="1"/>
  <c r="B16" i="42"/>
  <c r="B17" i="42" s="1"/>
  <c r="B42" i="42"/>
  <c r="B40" i="42"/>
  <c r="B41" i="42"/>
  <c r="B32" i="42"/>
  <c r="B36" i="42"/>
  <c r="B37" i="42"/>
  <c r="B13" i="42"/>
  <c r="B22" i="42" l="1"/>
  <c r="C42" i="25"/>
  <c r="C41" i="25"/>
  <c r="C22" i="25"/>
  <c r="C29" i="25" s="1"/>
  <c r="C17" i="25"/>
  <c r="C13" i="25"/>
  <c r="B29" i="42" l="1"/>
  <c r="H32" i="141"/>
  <c r="D32" i="141"/>
  <c r="D37" i="141"/>
  <c r="D29" i="141"/>
  <c r="D13" i="141"/>
  <c r="H17" i="20" l="1"/>
  <c r="I17" i="20"/>
  <c r="C40" i="20" l="1"/>
  <c r="C41" i="20"/>
  <c r="C22" i="20"/>
  <c r="C29" i="20" s="1"/>
  <c r="C17" i="20"/>
  <c r="C55" i="20"/>
  <c r="C13" i="20"/>
  <c r="B41" i="146" l="1"/>
  <c r="B55" i="146" s="1"/>
  <c r="I55" i="146"/>
  <c r="H55" i="146"/>
  <c r="I37" i="146"/>
  <c r="H37" i="146"/>
  <c r="G37" i="146"/>
  <c r="F37" i="146"/>
  <c r="E37" i="146"/>
  <c r="D37" i="146"/>
  <c r="C37" i="146"/>
  <c r="B37" i="146"/>
  <c r="I22" i="146"/>
  <c r="I29" i="146" s="1"/>
  <c r="H22" i="146"/>
  <c r="H29" i="146" s="1"/>
  <c r="G22" i="146"/>
  <c r="G29" i="146" s="1"/>
  <c r="F22" i="146"/>
  <c r="F29" i="146" s="1"/>
  <c r="E22" i="146"/>
  <c r="E24" i="146" s="1"/>
  <c r="E27" i="146" s="1"/>
  <c r="D22" i="146"/>
  <c r="D29" i="146" s="1"/>
  <c r="C22" i="146"/>
  <c r="C29" i="146" s="1"/>
  <c r="B22" i="146"/>
  <c r="I17" i="146"/>
  <c r="H17" i="146"/>
  <c r="G17" i="146"/>
  <c r="F17" i="146"/>
  <c r="E17" i="146"/>
  <c r="D17" i="146"/>
  <c r="C17" i="146"/>
  <c r="B17" i="146"/>
  <c r="E13" i="146"/>
  <c r="D13" i="146"/>
  <c r="C13" i="146"/>
  <c r="B13" i="146"/>
  <c r="C10" i="146"/>
  <c r="D10" i="146" s="1"/>
  <c r="E10" i="146" s="1"/>
  <c r="F10" i="146" s="1"/>
  <c r="G10" i="146" s="1"/>
  <c r="H10" i="146" s="1"/>
  <c r="I10" i="146" s="1"/>
  <c r="I59" i="1"/>
  <c r="C59" i="1"/>
  <c r="O59" i="1"/>
  <c r="B24" i="146" l="1"/>
  <c r="B27" i="146" s="1"/>
  <c r="F24" i="146"/>
  <c r="F27" i="146" s="1"/>
  <c r="B29" i="146"/>
  <c r="B53" i="146"/>
  <c r="B52" i="146"/>
  <c r="B51" i="146"/>
  <c r="B50" i="146"/>
  <c r="C24" i="146"/>
  <c r="C27" i="146" s="1"/>
  <c r="E29" i="146"/>
  <c r="D24" i="146"/>
  <c r="D27" i="146" s="1"/>
  <c r="D41" i="145"/>
  <c r="D55" i="145" s="1"/>
  <c r="K55" i="145"/>
  <c r="J55" i="145"/>
  <c r="K37" i="145"/>
  <c r="J37" i="145"/>
  <c r="I37" i="145"/>
  <c r="H37" i="145"/>
  <c r="G37" i="145"/>
  <c r="F37" i="145"/>
  <c r="E37" i="145"/>
  <c r="D37" i="145"/>
  <c r="K22" i="145"/>
  <c r="K29" i="145" s="1"/>
  <c r="J22" i="145"/>
  <c r="J29" i="145" s="1"/>
  <c r="I22" i="145"/>
  <c r="I29" i="145" s="1"/>
  <c r="H22" i="145"/>
  <c r="G22" i="145"/>
  <c r="F22" i="145"/>
  <c r="F29" i="145" s="1"/>
  <c r="E22" i="145"/>
  <c r="E29" i="145" s="1"/>
  <c r="D22" i="145"/>
  <c r="K17" i="145"/>
  <c r="J17" i="145"/>
  <c r="I17" i="145"/>
  <c r="H17" i="145"/>
  <c r="G17" i="145"/>
  <c r="F17" i="145"/>
  <c r="E17" i="145"/>
  <c r="D17" i="145"/>
  <c r="G13" i="145"/>
  <c r="F13" i="145"/>
  <c r="E13" i="145"/>
  <c r="D13" i="145"/>
  <c r="E10" i="145"/>
  <c r="F10" i="145" s="1"/>
  <c r="G10" i="145" s="1"/>
  <c r="H10" i="145" s="1"/>
  <c r="I10" i="145" s="1"/>
  <c r="J10" i="145" s="1"/>
  <c r="K10" i="145" s="1"/>
  <c r="I91" i="1"/>
  <c r="G24" i="145" l="1"/>
  <c r="G27" i="145" s="1"/>
  <c r="D24" i="145"/>
  <c r="D27" i="145" s="1"/>
  <c r="D50" i="145" s="1"/>
  <c r="H24" i="145"/>
  <c r="H27" i="145" s="1"/>
  <c r="D53" i="145"/>
  <c r="D51" i="145"/>
  <c r="E24" i="145"/>
  <c r="E27" i="145" s="1"/>
  <c r="G29" i="145"/>
  <c r="F24" i="145"/>
  <c r="F27" i="145" s="1"/>
  <c r="D29" i="145"/>
  <c r="H29" i="145"/>
  <c r="B41" i="144"/>
  <c r="I55" i="144"/>
  <c r="H55" i="144"/>
  <c r="G55" i="144"/>
  <c r="B55" i="144"/>
  <c r="I37" i="144"/>
  <c r="H37" i="144"/>
  <c r="G37" i="144"/>
  <c r="F37" i="144"/>
  <c r="E37" i="144"/>
  <c r="D37" i="144"/>
  <c r="C37" i="144"/>
  <c r="B37" i="144"/>
  <c r="B53" i="144" s="1"/>
  <c r="I29" i="144"/>
  <c r="I22" i="144"/>
  <c r="H22" i="144"/>
  <c r="H29" i="144" s="1"/>
  <c r="G22" i="144"/>
  <c r="G29" i="144" s="1"/>
  <c r="F22" i="144"/>
  <c r="E22" i="144"/>
  <c r="D22" i="144"/>
  <c r="D29" i="144" s="1"/>
  <c r="C22" i="144"/>
  <c r="C29" i="144" s="1"/>
  <c r="B22" i="144"/>
  <c r="I17" i="144"/>
  <c r="H17" i="144"/>
  <c r="G17" i="144"/>
  <c r="F17" i="144"/>
  <c r="E17" i="144"/>
  <c r="D17" i="144"/>
  <c r="C17" i="144"/>
  <c r="B17" i="144"/>
  <c r="E13" i="144"/>
  <c r="D13" i="144"/>
  <c r="C13" i="144"/>
  <c r="B13" i="144"/>
  <c r="C10" i="144"/>
  <c r="D10" i="144" s="1"/>
  <c r="E10" i="144" s="1"/>
  <c r="F10" i="144" s="1"/>
  <c r="G10" i="144" s="1"/>
  <c r="H10" i="144" s="1"/>
  <c r="I10" i="144" s="1"/>
  <c r="I119" i="1"/>
  <c r="O91" i="1"/>
  <c r="J59" i="1"/>
  <c r="E91" i="1"/>
  <c r="C91" i="1"/>
  <c r="F59" i="1"/>
  <c r="E59" i="1"/>
  <c r="E24" i="144" l="1"/>
  <c r="E27" i="144" s="1"/>
  <c r="B24" i="144"/>
  <c r="B27" i="144" s="1"/>
  <c r="F24" i="144"/>
  <c r="F27" i="144" s="1"/>
  <c r="E29" i="144"/>
  <c r="D52" i="145"/>
  <c r="B52" i="144"/>
  <c r="B50" i="144"/>
  <c r="B51" i="144"/>
  <c r="C24" i="144"/>
  <c r="C27" i="144" s="1"/>
  <c r="D24" i="144"/>
  <c r="D27" i="144" s="1"/>
  <c r="B29" i="144"/>
  <c r="F29" i="144"/>
  <c r="D41" i="26"/>
  <c r="D13" i="26"/>
  <c r="D46" i="26"/>
  <c r="F91" i="1"/>
  <c r="K55" i="143" l="1"/>
  <c r="J55" i="143"/>
  <c r="D55" i="143"/>
  <c r="F37" i="143"/>
  <c r="D53" i="143"/>
  <c r="F22" i="143"/>
  <c r="F29" i="143" s="1"/>
  <c r="F17" i="143"/>
  <c r="E10" i="143"/>
  <c r="F10" i="143" s="1"/>
  <c r="G10" i="143" s="1"/>
  <c r="H10" i="143" s="1"/>
  <c r="I10" i="143" s="1"/>
  <c r="J10" i="143" s="1"/>
  <c r="K10" i="143" s="1"/>
  <c r="E109" i="1"/>
  <c r="F109" i="1"/>
  <c r="O109" i="1"/>
  <c r="I109" i="1"/>
  <c r="J91" i="1"/>
  <c r="J109" i="1"/>
  <c r="C109" i="1"/>
  <c r="D52" i="143" l="1"/>
  <c r="D51" i="143"/>
  <c r="D50" i="143"/>
  <c r="D40" i="138"/>
  <c r="D41" i="138" s="1"/>
  <c r="D22" i="138"/>
  <c r="D17" i="138"/>
  <c r="E22" i="138"/>
  <c r="E17" i="138"/>
  <c r="F22" i="138"/>
  <c r="F17" i="138"/>
  <c r="G22" i="138"/>
  <c r="D24" i="138" s="1"/>
  <c r="G17" i="138"/>
  <c r="H22" i="138"/>
  <c r="H17" i="138"/>
  <c r="D29" i="138"/>
  <c r="D13" i="138"/>
  <c r="J111" i="1"/>
  <c r="C111" i="1"/>
  <c r="E111" i="1"/>
  <c r="I111" i="1"/>
  <c r="F111" i="1"/>
  <c r="O111" i="1"/>
  <c r="D25" i="138" l="1"/>
  <c r="D27" i="138" s="1"/>
  <c r="D47" i="138" s="1"/>
  <c r="G10" i="139"/>
  <c r="D40" i="139"/>
  <c r="D41" i="139" s="1"/>
  <c r="D51" i="139" s="1"/>
  <c r="D50" i="139" l="1"/>
  <c r="D52" i="138"/>
  <c r="D55" i="138"/>
  <c r="D50" i="138"/>
  <c r="D51" i="138"/>
  <c r="D52" i="139"/>
  <c r="D53" i="139"/>
  <c r="D55" i="139"/>
  <c r="D40" i="118"/>
  <c r="D41" i="118" s="1"/>
  <c r="D22" i="118"/>
  <c r="D17" i="118"/>
  <c r="D13" i="118"/>
  <c r="D46" i="118"/>
  <c r="B31" i="81" l="1"/>
  <c r="B30" i="81"/>
  <c r="B32" i="81"/>
  <c r="B37" i="81"/>
  <c r="B44" i="81"/>
  <c r="B13" i="81"/>
  <c r="B22" i="81"/>
  <c r="B17" i="81"/>
  <c r="B41" i="81"/>
  <c r="B55" i="81"/>
  <c r="B46" i="81"/>
  <c r="B29" i="81" l="1"/>
  <c r="D31" i="131"/>
  <c r="H32" i="131"/>
  <c r="D32" i="131"/>
  <c r="D41" i="131"/>
  <c r="D37" i="131"/>
  <c r="D22" i="131"/>
  <c r="D29" i="131" s="1"/>
  <c r="D17" i="131"/>
  <c r="D13" i="131"/>
  <c r="D46" i="131"/>
  <c r="D41" i="72" l="1"/>
  <c r="D27" i="72"/>
  <c r="D47" i="72" s="1"/>
  <c r="D50" i="72" s="1"/>
  <c r="D22" i="72"/>
  <c r="D29" i="72" s="1"/>
  <c r="D35" i="72" s="1"/>
  <c r="D37" i="72" s="1"/>
  <c r="D17" i="72"/>
  <c r="D13" i="72"/>
  <c r="D55" i="72"/>
  <c r="D46" i="72"/>
  <c r="D52" i="72" l="1"/>
  <c r="D51" i="72"/>
  <c r="D32" i="133"/>
  <c r="D36" i="133"/>
  <c r="D35" i="133"/>
  <c r="D41" i="133"/>
  <c r="D27" i="133"/>
  <c r="D47" i="133" s="1"/>
  <c r="D22" i="133"/>
  <c r="D29" i="133" s="1"/>
  <c r="D17" i="133"/>
  <c r="D13" i="133"/>
  <c r="D55" i="133"/>
  <c r="D53" i="133"/>
  <c r="D52" i="133" l="1"/>
  <c r="D51" i="133"/>
  <c r="D50" i="133"/>
  <c r="D46" i="57"/>
  <c r="D42" i="57"/>
  <c r="D41" i="57"/>
  <c r="D37" i="57"/>
  <c r="D29" i="57"/>
  <c r="D24" i="57"/>
  <c r="D27" i="57" s="1"/>
  <c r="D47" i="57" s="1"/>
  <c r="D17" i="57"/>
  <c r="D21" i="57"/>
  <c r="D33" i="57" s="1"/>
  <c r="D34" i="57" s="1"/>
  <c r="D13" i="57"/>
  <c r="D55" i="57" l="1"/>
  <c r="D51" i="57"/>
  <c r="D52" i="57"/>
  <c r="D50" i="57"/>
  <c r="D41" i="64"/>
  <c r="D37" i="64"/>
  <c r="D22" i="64"/>
  <c r="D29" i="64" s="1"/>
  <c r="D17" i="64"/>
  <c r="D13" i="64"/>
  <c r="D46" i="64"/>
  <c r="D41" i="108" l="1"/>
  <c r="D22" i="108"/>
  <c r="D29" i="108" s="1"/>
  <c r="D17" i="108"/>
  <c r="D13" i="108"/>
  <c r="D53" i="108"/>
  <c r="D46" i="108"/>
  <c r="D40" i="129" l="1"/>
  <c r="D41" i="129"/>
  <c r="H35" i="129"/>
  <c r="D22" i="129"/>
  <c r="D17" i="129"/>
  <c r="D13" i="129"/>
  <c r="D29" i="129" l="1"/>
  <c r="D41" i="65"/>
  <c r="D40" i="65"/>
  <c r="D37" i="65"/>
  <c r="D22" i="65"/>
  <c r="D17" i="65"/>
  <c r="D13" i="65"/>
  <c r="D46" i="65"/>
  <c r="D29" i="65" l="1"/>
  <c r="D34" i="65" s="1"/>
  <c r="I36" i="63"/>
  <c r="D37" i="63"/>
  <c r="D36" i="63"/>
  <c r="D42" i="63"/>
  <c r="D40" i="63"/>
  <c r="D41" i="63" s="1"/>
  <c r="D22" i="63"/>
  <c r="D29" i="63" s="1"/>
  <c r="D17" i="63"/>
  <c r="D13" i="63"/>
  <c r="D12" i="58" l="1"/>
  <c r="D41" i="58"/>
  <c r="D22" i="58"/>
  <c r="D55" i="58"/>
  <c r="D29" i="58" l="1"/>
  <c r="D17" i="58"/>
  <c r="D41" i="27"/>
  <c r="D37" i="27"/>
  <c r="D22" i="27"/>
  <c r="D17" i="27"/>
  <c r="D13" i="27"/>
  <c r="D29" i="27" l="1"/>
  <c r="D34" i="27" s="1"/>
  <c r="D40" i="130"/>
  <c r="D41" i="130"/>
  <c r="D22" i="130"/>
  <c r="D17" i="130"/>
  <c r="D13" i="130"/>
  <c r="D46" i="130"/>
  <c r="D29" i="130" l="1"/>
  <c r="D41" i="128"/>
  <c r="D40" i="128"/>
  <c r="D35" i="128"/>
  <c r="D37" i="128" s="1"/>
  <c r="D36" i="128"/>
  <c r="D30" i="128"/>
  <c r="D31" i="128"/>
  <c r="D22" i="128"/>
  <c r="D17" i="128"/>
  <c r="D13" i="128"/>
  <c r="D29" i="128" l="1"/>
  <c r="D37" i="120"/>
  <c r="D46" i="120"/>
  <c r="D40" i="120"/>
  <c r="D41" i="120" s="1"/>
  <c r="D13" i="120"/>
  <c r="D22" i="120"/>
  <c r="D17" i="120"/>
  <c r="D29" i="120" l="1"/>
  <c r="D30" i="47"/>
  <c r="D32" i="47"/>
  <c r="D37" i="47"/>
  <c r="D13" i="47"/>
  <c r="D17" i="47"/>
  <c r="D22" i="47"/>
  <c r="D29" i="47" s="1"/>
  <c r="D46" i="47"/>
  <c r="D32" i="13" l="1"/>
  <c r="D17" i="13"/>
  <c r="D13" i="13"/>
  <c r="D22" i="13"/>
  <c r="D55" i="13"/>
  <c r="D46" i="13"/>
  <c r="D29" i="13" l="1"/>
  <c r="D40" i="132"/>
  <c r="D41" i="132" s="1"/>
  <c r="D16" i="132"/>
  <c r="D22" i="132" s="1"/>
  <c r="D17" i="132"/>
  <c r="D46" i="132"/>
  <c r="D12" i="132"/>
  <c r="D29" i="132" l="1"/>
  <c r="D41" i="121"/>
  <c r="D22" i="121"/>
  <c r="D29" i="121" s="1"/>
  <c r="D17" i="121"/>
  <c r="D13" i="121"/>
  <c r="D55" i="121"/>
  <c r="D40" i="82" l="1"/>
  <c r="D41" i="82"/>
  <c r="D22" i="82"/>
  <c r="D29" i="82" s="1"/>
  <c r="D35" i="82" s="1"/>
  <c r="D37" i="82" s="1"/>
  <c r="D17" i="82"/>
  <c r="D13" i="82"/>
  <c r="D55" i="82"/>
  <c r="D47" i="82"/>
  <c r="D46" i="82"/>
  <c r="D52" i="82" l="1"/>
  <c r="D50" i="82"/>
  <c r="D51" i="82"/>
  <c r="D14" i="45"/>
  <c r="D37" i="45"/>
  <c r="D20" i="45"/>
  <c r="D16" i="45" s="1"/>
  <c r="D17" i="45" s="1"/>
  <c r="H20" i="45"/>
  <c r="H16" i="45" s="1"/>
  <c r="D29" i="45"/>
  <c r="D40" i="45"/>
  <c r="D41" i="45" s="1"/>
  <c r="H35" i="45"/>
  <c r="D13" i="45"/>
  <c r="D33" i="45" l="1"/>
  <c r="D34" i="45"/>
  <c r="E35" i="126"/>
  <c r="E21" i="126"/>
  <c r="E33" i="126" s="1"/>
  <c r="E17" i="126"/>
  <c r="E24" i="126"/>
  <c r="E25" i="126" s="1"/>
  <c r="E27" i="126" s="1"/>
  <c r="E47" i="126" s="1"/>
  <c r="E37" i="126"/>
  <c r="E13" i="126"/>
  <c r="E40" i="126"/>
  <c r="E41" i="126" s="1"/>
  <c r="E29" i="126"/>
  <c r="E46" i="126"/>
  <c r="E50" i="126" l="1"/>
  <c r="E55" i="126"/>
  <c r="E34" i="126"/>
  <c r="E52" i="126"/>
  <c r="E51" i="126"/>
  <c r="B41" i="9"/>
  <c r="B40" i="9"/>
  <c r="B39" i="9"/>
  <c r="G32" i="9"/>
  <c r="F32" i="9" s="1"/>
  <c r="H32" i="9"/>
  <c r="F30" i="9"/>
  <c r="F31" i="9"/>
  <c r="B31" i="9"/>
  <c r="B30" i="9"/>
  <c r="F36" i="9"/>
  <c r="F35" i="9"/>
  <c r="B35" i="9"/>
  <c r="B37" i="9"/>
  <c r="B36" i="9"/>
  <c r="B55" i="9"/>
  <c r="B46" i="9"/>
  <c r="B22" i="9"/>
  <c r="B17" i="9"/>
  <c r="B13" i="9"/>
  <c r="B29" i="9" l="1"/>
  <c r="B40" i="68"/>
  <c r="B41" i="68" s="1"/>
  <c r="B17" i="68"/>
  <c r="B21" i="68"/>
  <c r="B33" i="68"/>
  <c r="B29" i="68"/>
  <c r="B55" i="68"/>
  <c r="B13" i="68"/>
  <c r="D42" i="34" l="1"/>
  <c r="D41" i="34"/>
  <c r="D22" i="34"/>
  <c r="D29" i="34" s="1"/>
  <c r="D17" i="34"/>
  <c r="D13" i="34"/>
  <c r="D40" i="134" l="1"/>
  <c r="D41" i="134" s="1"/>
  <c r="D22" i="134"/>
  <c r="D29" i="134" s="1"/>
  <c r="D35" i="134" s="1"/>
  <c r="D37" i="134" s="1"/>
  <c r="D17" i="134"/>
  <c r="D13" i="134"/>
  <c r="D46" i="134"/>
  <c r="D40" i="135" l="1"/>
  <c r="D41" i="135" s="1"/>
  <c r="D36" i="135"/>
  <c r="D37" i="135"/>
  <c r="D16" i="135"/>
  <c r="D22" i="135" s="1"/>
  <c r="D29" i="135" s="1"/>
  <c r="H16" i="135"/>
  <c r="H22" i="135" s="1"/>
  <c r="E40" i="135"/>
  <c r="E41" i="135" s="1"/>
  <c r="E36" i="135"/>
  <c r="E37" i="135" s="1"/>
  <c r="I36" i="135"/>
  <c r="I37" i="135" s="1"/>
  <c r="D13" i="135"/>
  <c r="E13" i="135"/>
  <c r="D48" i="135"/>
  <c r="E48" i="135"/>
  <c r="D17" i="135" l="1"/>
  <c r="H17" i="135"/>
  <c r="D53" i="135"/>
  <c r="E53" i="135"/>
  <c r="C32" i="96"/>
  <c r="C37" i="96"/>
  <c r="C22" i="96"/>
  <c r="C17" i="96"/>
  <c r="C29" i="96" l="1"/>
  <c r="C34" i="96" s="1"/>
  <c r="E40" i="19"/>
  <c r="E41" i="19" s="1"/>
  <c r="E22" i="19"/>
  <c r="E17" i="19"/>
  <c r="E13" i="19"/>
  <c r="E29" i="19" l="1"/>
  <c r="E40" i="97"/>
  <c r="F40" i="97"/>
  <c r="G40" i="97"/>
  <c r="G41" i="97" s="1"/>
  <c r="E13" i="97"/>
  <c r="E46" i="97"/>
  <c r="E22" i="97"/>
  <c r="E17" i="97"/>
  <c r="E29" i="97" l="1"/>
  <c r="E41" i="142"/>
  <c r="E55" i="142" s="1"/>
  <c r="K55" i="142"/>
  <c r="J55" i="142"/>
  <c r="E53" i="142" l="1"/>
  <c r="E52" i="142"/>
  <c r="E51" i="142"/>
  <c r="E50" i="142"/>
  <c r="C40" i="42"/>
  <c r="C41" i="42" s="1"/>
  <c r="C19" i="42"/>
  <c r="C20" i="42"/>
  <c r="C21" i="42"/>
  <c r="C12" i="42"/>
  <c r="B46" i="42" s="1"/>
  <c r="C46" i="42"/>
  <c r="C42" i="42"/>
  <c r="E117" i="1"/>
  <c r="O117" i="1"/>
  <c r="I117" i="1"/>
  <c r="J117" i="1"/>
  <c r="F117" i="1"/>
  <c r="C117" i="1"/>
  <c r="E40" i="98" l="1"/>
  <c r="E41" i="98" s="1"/>
  <c r="E22" i="98"/>
  <c r="E17" i="98"/>
  <c r="E13" i="98"/>
  <c r="E29" i="98" l="1"/>
  <c r="I32" i="111"/>
  <c r="E32" i="111"/>
  <c r="E36" i="111"/>
  <c r="E40" i="111"/>
  <c r="E41" i="111" s="1"/>
  <c r="E13" i="111"/>
  <c r="E22" i="111"/>
  <c r="E17" i="111"/>
  <c r="E37" i="111" l="1"/>
  <c r="E29" i="111"/>
  <c r="E31" i="89"/>
  <c r="E30" i="89"/>
  <c r="E32" i="89"/>
  <c r="E37" i="89"/>
  <c r="E13" i="89"/>
  <c r="E22" i="89"/>
  <c r="E17" i="89"/>
  <c r="E29" i="89" l="1"/>
  <c r="E39" i="114"/>
  <c r="E42" i="114"/>
  <c r="E22" i="114"/>
  <c r="E17" i="114"/>
  <c r="E13" i="114"/>
  <c r="E44" i="137"/>
  <c r="E40" i="137"/>
  <c r="E29" i="114" l="1"/>
  <c r="E42" i="137"/>
  <c r="E41" i="137"/>
  <c r="E22" i="137"/>
  <c r="E17" i="137"/>
  <c r="E13" i="137"/>
  <c r="E29" i="137" l="1"/>
  <c r="E40" i="76"/>
  <c r="E41" i="76" s="1"/>
  <c r="E25" i="76"/>
  <c r="F30" i="76"/>
  <c r="E30" i="76" s="1"/>
  <c r="D30" i="76" s="1"/>
  <c r="E27" i="76"/>
  <c r="E47" i="76" s="1"/>
  <c r="E22" i="76"/>
  <c r="E29" i="76" s="1"/>
  <c r="E17" i="76"/>
  <c r="E13" i="76"/>
  <c r="E52" i="76" l="1"/>
  <c r="E51" i="76"/>
  <c r="E50" i="76"/>
  <c r="E14" i="113"/>
  <c r="E40" i="113"/>
  <c r="E41" i="113"/>
  <c r="E32" i="113"/>
  <c r="E37" i="113"/>
  <c r="E13" i="113"/>
  <c r="E22" i="113"/>
  <c r="E29" i="113" s="1"/>
  <c r="E17" i="113"/>
  <c r="E41" i="54"/>
  <c r="E32" i="54"/>
  <c r="I32" i="54"/>
  <c r="E55" i="54"/>
  <c r="E46" i="54"/>
  <c r="E37" i="54"/>
  <c r="E13" i="54"/>
  <c r="E22" i="54"/>
  <c r="E17" i="54"/>
  <c r="E29" i="54" l="1"/>
  <c r="D31" i="73"/>
  <c r="D30" i="73"/>
  <c r="D14" i="73"/>
  <c r="D41" i="73"/>
  <c r="D40" i="73"/>
  <c r="H32" i="73"/>
  <c r="D32" i="73"/>
  <c r="D37" i="73"/>
  <c r="D33" i="73"/>
  <c r="D13" i="73"/>
  <c r="D22" i="73"/>
  <c r="D17" i="73"/>
  <c r="D29" i="73" l="1"/>
  <c r="D34" i="73"/>
  <c r="E42" i="83" l="1"/>
  <c r="E22" i="83"/>
  <c r="E17" i="83"/>
  <c r="E40" i="83"/>
  <c r="E41" i="83" s="1"/>
  <c r="E29" i="83"/>
  <c r="E13" i="83"/>
  <c r="I46" i="136" l="1"/>
  <c r="H46" i="136" s="1"/>
  <c r="E42" i="136"/>
  <c r="E40" i="136"/>
  <c r="E41" i="136"/>
  <c r="E31" i="136"/>
  <c r="D31" i="136" s="1"/>
  <c r="C31" i="136" s="1"/>
  <c r="E30" i="136"/>
  <c r="D30" i="136" s="1"/>
  <c r="C30" i="136" s="1"/>
  <c r="I31" i="136"/>
  <c r="H31" i="136" s="1"/>
  <c r="G31" i="136" s="1"/>
  <c r="I30" i="136"/>
  <c r="H30" i="136" s="1"/>
  <c r="G30" i="136" s="1"/>
  <c r="E35" i="136"/>
  <c r="E36" i="136"/>
  <c r="D36" i="136" s="1"/>
  <c r="C36" i="136" s="1"/>
  <c r="E22" i="136"/>
  <c r="E17" i="136"/>
  <c r="E13" i="136"/>
  <c r="F13" i="136"/>
  <c r="E37" i="136" l="1"/>
  <c r="D35" i="136"/>
  <c r="E29" i="136"/>
  <c r="E37" i="116"/>
  <c r="E41" i="116"/>
  <c r="E40" i="116"/>
  <c r="E22" i="116"/>
  <c r="E17" i="116"/>
  <c r="E46" i="116"/>
  <c r="E13" i="116"/>
  <c r="D37" i="136" l="1"/>
  <c r="C35" i="136"/>
  <c r="C37" i="136" s="1"/>
  <c r="E29" i="116"/>
  <c r="E34" i="116" s="1"/>
  <c r="E42" i="28"/>
  <c r="E40" i="28"/>
  <c r="E41" i="28" s="1"/>
  <c r="E22" i="28"/>
  <c r="B24" i="28" s="1"/>
  <c r="E17" i="28"/>
  <c r="E13" i="28"/>
  <c r="B26" i="28" l="1"/>
  <c r="B27" i="28" s="1"/>
  <c r="B47" i="28" s="1"/>
  <c r="E29" i="28"/>
  <c r="E44" i="95"/>
  <c r="E40" i="95"/>
  <c r="B52" i="28" l="1"/>
  <c r="B50" i="28"/>
  <c r="B51" i="28"/>
  <c r="E42" i="95"/>
  <c r="E41" i="95"/>
  <c r="E22" i="95"/>
  <c r="E17" i="95"/>
  <c r="E13" i="95"/>
  <c r="E29" i="95" l="1"/>
  <c r="E42" i="48"/>
  <c r="E40" i="48"/>
  <c r="E41" i="48" s="1"/>
  <c r="E22" i="48"/>
  <c r="E17" i="48"/>
  <c r="E13" i="48"/>
  <c r="E46" i="48"/>
  <c r="E29" i="48" l="1"/>
  <c r="B42" i="122"/>
  <c r="B22" i="122"/>
  <c r="B17" i="122"/>
  <c r="B41" i="122"/>
  <c r="B29" i="122"/>
  <c r="B13" i="122"/>
  <c r="E22" i="15" l="1"/>
  <c r="E40" i="15"/>
  <c r="E46" i="15"/>
  <c r="E13" i="15"/>
  <c r="E17" i="15"/>
  <c r="E29" i="15" l="1"/>
  <c r="D40" i="25"/>
  <c r="D41" i="25" s="1"/>
  <c r="D22" i="25"/>
  <c r="D42" i="25"/>
  <c r="D31" i="25"/>
  <c r="C31" i="25" s="1"/>
  <c r="D30" i="25"/>
  <c r="C30" i="25" s="1"/>
  <c r="D35" i="25"/>
  <c r="D36" i="25"/>
  <c r="C36" i="25" s="1"/>
  <c r="D29" i="25"/>
  <c r="D17" i="25"/>
  <c r="D13" i="25"/>
  <c r="D37" i="25" l="1"/>
  <c r="C35" i="25"/>
  <c r="E42" i="123"/>
  <c r="E40" i="123"/>
  <c r="E41" i="123" s="1"/>
  <c r="E22" i="123"/>
  <c r="E17" i="123"/>
  <c r="E13" i="123"/>
  <c r="E29" i="123" l="1"/>
  <c r="C37" i="25"/>
  <c r="H32" i="102"/>
  <c r="D32" i="102"/>
  <c r="D33" i="102"/>
  <c r="D37" i="102"/>
  <c r="D22" i="102"/>
  <c r="D29" i="102" s="1"/>
  <c r="D17" i="102"/>
  <c r="D13" i="102"/>
  <c r="E31" i="103" l="1"/>
  <c r="E30" i="103"/>
  <c r="E37" i="103"/>
  <c r="E13" i="103"/>
  <c r="E55" i="103"/>
  <c r="E22" i="103"/>
  <c r="E29" i="103" s="1"/>
  <c r="E17" i="103"/>
  <c r="E40" i="103"/>
  <c r="E41" i="103"/>
  <c r="E44" i="103"/>
  <c r="E40" i="139" l="1"/>
  <c r="E50" i="139" s="1"/>
  <c r="F40" i="139"/>
  <c r="F50" i="139" s="1"/>
  <c r="E41" i="139" l="1"/>
  <c r="F41" i="139"/>
  <c r="E41" i="73"/>
  <c r="E40" i="73"/>
  <c r="E33" i="73"/>
  <c r="E35" i="73"/>
  <c r="E37" i="73" s="1"/>
  <c r="B48" i="73" s="1"/>
  <c r="B53" i="73" s="1"/>
  <c r="E36" i="73"/>
  <c r="E16" i="73"/>
  <c r="E22" i="73" s="1"/>
  <c r="E12" i="73"/>
  <c r="E17" i="73" s="1"/>
  <c r="E29" i="73" l="1"/>
  <c r="E55" i="139"/>
  <c r="E53" i="139"/>
  <c r="E52" i="139"/>
  <c r="E51" i="139"/>
  <c r="F55" i="139"/>
  <c r="F53" i="139"/>
  <c r="F51" i="139"/>
  <c r="F52" i="139"/>
  <c r="E27" i="72"/>
  <c r="E47" i="72" s="1"/>
  <c r="E55" i="72"/>
  <c r="E46" i="72"/>
  <c r="E41" i="72"/>
  <c r="E13" i="72"/>
  <c r="E22" i="72"/>
  <c r="E29" i="72" s="1"/>
  <c r="E35" i="72" s="1"/>
  <c r="E37" i="72" s="1"/>
  <c r="E17" i="72"/>
  <c r="E52" i="72" l="1"/>
  <c r="E50" i="72"/>
  <c r="E51" i="72"/>
  <c r="F30" i="133" l="1"/>
  <c r="F31" i="133"/>
  <c r="E32" i="133"/>
  <c r="E47" i="133"/>
  <c r="E55" i="133" s="1"/>
  <c r="E29" i="133"/>
  <c r="E27" i="133"/>
  <c r="E41" i="133"/>
  <c r="E53" i="133" s="1"/>
  <c r="E22" i="133"/>
  <c r="E17" i="133"/>
  <c r="E13" i="133"/>
  <c r="E51" i="133" l="1"/>
  <c r="E52" i="133"/>
  <c r="E50" i="133"/>
  <c r="E41" i="13"/>
  <c r="E40" i="13"/>
  <c r="D40" i="13" s="1"/>
  <c r="D41" i="13" s="1"/>
  <c r="E22" i="13"/>
  <c r="D24" i="13" s="1"/>
  <c r="D27" i="13" s="1"/>
  <c r="D47" i="13" s="1"/>
  <c r="D50" i="13" s="1"/>
  <c r="D51" i="13" l="1"/>
  <c r="D52" i="13"/>
  <c r="E32" i="13"/>
  <c r="E35" i="13"/>
  <c r="D35" i="13" s="1"/>
  <c r="D37" i="13" s="1"/>
  <c r="E36" i="13"/>
  <c r="C36" i="13" s="1"/>
  <c r="C37" i="13" s="1"/>
  <c r="E29" i="13"/>
  <c r="E24" i="13"/>
  <c r="E27" i="13" s="1"/>
  <c r="E47" i="13" s="1"/>
  <c r="E17" i="13"/>
  <c r="E13" i="13"/>
  <c r="E55" i="13"/>
  <c r="E46" i="13"/>
  <c r="E37" i="13" l="1"/>
  <c r="B48" i="13" s="1"/>
  <c r="B53" i="13" s="1"/>
  <c r="E52" i="13"/>
  <c r="E51" i="13"/>
  <c r="E50" i="13"/>
  <c r="E40" i="27"/>
  <c r="E32" i="27"/>
  <c r="E37" i="27"/>
  <c r="E29" i="27"/>
  <c r="E34" i="27" s="1"/>
  <c r="E41" i="27"/>
  <c r="E22" i="27"/>
  <c r="E17" i="27"/>
  <c r="E13" i="27"/>
  <c r="W47" i="63" l="1"/>
  <c r="W48" i="63" s="1"/>
  <c r="W46" i="63"/>
  <c r="E37" i="63"/>
  <c r="E36" i="63"/>
  <c r="F37" i="63"/>
  <c r="E42" i="63"/>
  <c r="E41" i="63"/>
  <c r="E40" i="63"/>
  <c r="E39" i="63"/>
  <c r="E25" i="63"/>
  <c r="E24" i="63"/>
  <c r="D24" i="63" s="1"/>
  <c r="F12" i="63"/>
  <c r="F46" i="63" s="1"/>
  <c r="E46" i="63" s="1"/>
  <c r="D46" i="63" s="1"/>
  <c r="E13" i="63"/>
  <c r="E22" i="63"/>
  <c r="E17" i="63"/>
  <c r="W49" i="63" l="1"/>
  <c r="D25" i="63"/>
  <c r="D27" i="63"/>
  <c r="D47" i="63" s="1"/>
  <c r="E29" i="63"/>
  <c r="I35" i="138"/>
  <c r="H35" i="138" s="1"/>
  <c r="I36" i="138"/>
  <c r="H36" i="138" s="1"/>
  <c r="J37" i="138"/>
  <c r="J17" i="138"/>
  <c r="I17" i="138"/>
  <c r="E36" i="138"/>
  <c r="D36" i="138" s="1"/>
  <c r="J12" i="138"/>
  <c r="F13" i="138"/>
  <c r="E13" i="138"/>
  <c r="E29" i="138"/>
  <c r="E40" i="138"/>
  <c r="E41" i="138" s="1"/>
  <c r="D50" i="63" l="1"/>
  <c r="D51" i="63"/>
  <c r="D52" i="63"/>
  <c r="D55" i="63"/>
  <c r="H37" i="138"/>
  <c r="I37" i="138"/>
  <c r="E40" i="129"/>
  <c r="E41" i="129" s="1"/>
  <c r="I31" i="129"/>
  <c r="I30" i="129"/>
  <c r="I32" i="129"/>
  <c r="E35" i="129"/>
  <c r="D35" i="129" s="1"/>
  <c r="I36" i="129"/>
  <c r="E22" i="129"/>
  <c r="E17" i="129"/>
  <c r="E13" i="129"/>
  <c r="E29" i="129" l="1"/>
  <c r="I32" i="130"/>
  <c r="E32" i="130"/>
  <c r="D32" i="130" s="1"/>
  <c r="C32" i="130" s="1"/>
  <c r="E36" i="130"/>
  <c r="D36" i="130" s="1"/>
  <c r="C36" i="130" s="1"/>
  <c r="E35" i="130"/>
  <c r="D35" i="130" s="1"/>
  <c r="I36" i="130"/>
  <c r="I35" i="130"/>
  <c r="D37" i="130" l="1"/>
  <c r="C35" i="130"/>
  <c r="C37" i="130" s="1"/>
  <c r="E37" i="130"/>
  <c r="E40" i="130"/>
  <c r="E41" i="130" s="1"/>
  <c r="E46" i="130"/>
  <c r="E13" i="130"/>
  <c r="E22" i="130"/>
  <c r="E17" i="130"/>
  <c r="B48" i="130" l="1"/>
  <c r="B53" i="130" s="1"/>
  <c r="E29" i="130"/>
  <c r="E46" i="118"/>
  <c r="E40" i="118"/>
  <c r="E41" i="118" s="1"/>
  <c r="E22" i="118"/>
  <c r="E17" i="118"/>
  <c r="E13" i="118"/>
  <c r="C24" i="118" l="1"/>
  <c r="C25" i="118" s="1"/>
  <c r="C27" i="118" s="1"/>
  <c r="C47" i="118" s="1"/>
  <c r="B24" i="118"/>
  <c r="E12" i="58"/>
  <c r="E35" i="58"/>
  <c r="D35" i="58" s="1"/>
  <c r="E36" i="58"/>
  <c r="D36" i="58" s="1"/>
  <c r="E55" i="58"/>
  <c r="E41" i="58"/>
  <c r="E22" i="58"/>
  <c r="E17" i="58"/>
  <c r="B25" i="118" l="1"/>
  <c r="B27" i="118"/>
  <c r="B47" i="118" s="1"/>
  <c r="C50" i="118"/>
  <c r="C51" i="118"/>
  <c r="C52" i="118"/>
  <c r="C55" i="118"/>
  <c r="D37" i="58"/>
  <c r="E29" i="58"/>
  <c r="E37" i="58"/>
  <c r="D42" i="80"/>
  <c r="D40" i="80"/>
  <c r="D41" i="80" s="1"/>
  <c r="D16" i="80"/>
  <c r="D17" i="80" s="1"/>
  <c r="D21" i="80"/>
  <c r="D35" i="80"/>
  <c r="D37" i="80"/>
  <c r="D36" i="80"/>
  <c r="D29" i="80"/>
  <c r="D13" i="80"/>
  <c r="B55" i="118" l="1"/>
  <c r="B52" i="118"/>
  <c r="B51" i="118"/>
  <c r="B50" i="118"/>
  <c r="E32" i="128"/>
  <c r="E41" i="128"/>
  <c r="E40" i="128"/>
  <c r="E37" i="128"/>
  <c r="E22" i="128"/>
  <c r="E17" i="128"/>
  <c r="E13" i="128"/>
  <c r="E29" i="128" l="1"/>
  <c r="I30" i="132"/>
  <c r="H30" i="132" s="1"/>
  <c r="E30" i="132"/>
  <c r="D30" i="132" s="1"/>
  <c r="E22" i="132"/>
  <c r="E29" i="132" s="1"/>
  <c r="E17" i="132"/>
  <c r="E40" i="132"/>
  <c r="E41" i="132" s="1"/>
  <c r="E37" i="120" l="1"/>
  <c r="E13" i="120"/>
  <c r="E22" i="120"/>
  <c r="E17" i="120"/>
  <c r="E40" i="120"/>
  <c r="E41" i="120"/>
  <c r="E46" i="120"/>
  <c r="E29" i="120" l="1"/>
  <c r="E37" i="47"/>
  <c r="E32" i="47"/>
  <c r="E30" i="47"/>
  <c r="E46" i="47"/>
  <c r="E13" i="47"/>
  <c r="H21" i="47"/>
  <c r="G21" i="47"/>
  <c r="F21" i="47"/>
  <c r="E21" i="47"/>
  <c r="E17" i="47"/>
  <c r="E22" i="47"/>
  <c r="E29" i="47" l="1"/>
  <c r="C31" i="81"/>
  <c r="C30" i="81"/>
  <c r="C32" i="81" l="1"/>
  <c r="C37" i="81"/>
  <c r="C55" i="81"/>
  <c r="C46" i="81"/>
  <c r="C22" i="81"/>
  <c r="C17" i="81"/>
  <c r="C13" i="81"/>
  <c r="C29" i="81" l="1"/>
  <c r="E40" i="57"/>
  <c r="E41" i="57" s="1"/>
  <c r="E30" i="57"/>
  <c r="I30" i="57"/>
  <c r="E36" i="57"/>
  <c r="E35" i="57"/>
  <c r="I35" i="57"/>
  <c r="E29" i="57"/>
  <c r="E24" i="57"/>
  <c r="E27" i="57" s="1"/>
  <c r="E47" i="57" s="1"/>
  <c r="E13" i="57"/>
  <c r="E21" i="57"/>
  <c r="E33" i="57" s="1"/>
  <c r="E17" i="57"/>
  <c r="E42" i="57"/>
  <c r="E46" i="57"/>
  <c r="E37" i="57" l="1"/>
  <c r="C35" i="57"/>
  <c r="E50" i="57"/>
  <c r="E55" i="57"/>
  <c r="E52" i="57"/>
  <c r="E51" i="57"/>
  <c r="E40" i="82"/>
  <c r="E41" i="82"/>
  <c r="E51" i="82" s="1"/>
  <c r="E55" i="82"/>
  <c r="E47" i="82"/>
  <c r="E52" i="82" s="1"/>
  <c r="E46" i="82"/>
  <c r="E22" i="82"/>
  <c r="E17" i="82"/>
  <c r="E13" i="82"/>
  <c r="C37" i="57" l="1"/>
  <c r="E50" i="82"/>
  <c r="E29" i="82"/>
  <c r="E35" i="82" s="1"/>
  <c r="E37" i="82" s="1"/>
  <c r="E30" i="121"/>
  <c r="D30" i="121" s="1"/>
  <c r="C30" i="121" s="1"/>
  <c r="E31" i="121"/>
  <c r="D31" i="121" s="1"/>
  <c r="I31" i="121"/>
  <c r="H31" i="121" s="1"/>
  <c r="I30" i="121"/>
  <c r="H30" i="121" s="1"/>
  <c r="E32" i="121"/>
  <c r="D32" i="121" s="1"/>
  <c r="E36" i="121"/>
  <c r="D36" i="121" s="1"/>
  <c r="I36" i="121"/>
  <c r="H36" i="121" s="1"/>
  <c r="E41" i="121"/>
  <c r="I22" i="121"/>
  <c r="E22" i="121"/>
  <c r="E29" i="121" s="1"/>
  <c r="E17" i="121"/>
  <c r="E13" i="121"/>
  <c r="E55" i="121"/>
  <c r="B48" i="57" l="1"/>
  <c r="B53" i="57" s="1"/>
  <c r="E39" i="26"/>
  <c r="E46" i="26"/>
  <c r="E13" i="26"/>
  <c r="E29" i="26"/>
  <c r="E17" i="26"/>
  <c r="C31" i="68" l="1"/>
  <c r="B31" i="68" s="1"/>
  <c r="C40" i="68"/>
  <c r="C41" i="68" s="1"/>
  <c r="C16" i="68"/>
  <c r="C21" i="68" s="1"/>
  <c r="C33" i="68" s="1"/>
  <c r="C35" i="68"/>
  <c r="B35" i="68" s="1"/>
  <c r="C29" i="68"/>
  <c r="C36" i="68"/>
  <c r="B36" i="68" s="1"/>
  <c r="B37" i="68" s="1"/>
  <c r="C13" i="68"/>
  <c r="C55" i="68"/>
  <c r="C17" i="68" l="1"/>
  <c r="C37" i="68"/>
  <c r="E26" i="3"/>
  <c r="E27" i="3" s="1"/>
  <c r="E47" i="3" s="1"/>
  <c r="E50" i="3" s="1"/>
  <c r="E41" i="3"/>
  <c r="E35" i="3"/>
  <c r="E37" i="3" s="1"/>
  <c r="E29" i="3"/>
  <c r="E33" i="3"/>
  <c r="E36" i="3"/>
  <c r="I36" i="3"/>
  <c r="I35" i="3"/>
  <c r="E13" i="3"/>
  <c r="E51" i="3" l="1"/>
  <c r="E52" i="3"/>
  <c r="D17" i="20"/>
  <c r="D40" i="20"/>
  <c r="D41" i="20"/>
  <c r="D31" i="20"/>
  <c r="C31" i="20" s="1"/>
  <c r="D30" i="20"/>
  <c r="C30" i="20" s="1"/>
  <c r="D37" i="20"/>
  <c r="D35" i="20"/>
  <c r="C35" i="20" s="1"/>
  <c r="D36" i="20"/>
  <c r="C36" i="20" s="1"/>
  <c r="D55" i="20"/>
  <c r="I32" i="20"/>
  <c r="D22" i="20"/>
  <c r="D13" i="20"/>
  <c r="C37" i="20" l="1"/>
  <c r="D29" i="20"/>
  <c r="E46" i="64"/>
  <c r="E41" i="64"/>
  <c r="E37" i="64"/>
  <c r="E22" i="64"/>
  <c r="E17" i="64"/>
  <c r="E13" i="64"/>
  <c r="E29" i="64" l="1"/>
  <c r="E46" i="108"/>
  <c r="E41" i="108"/>
  <c r="E53" i="108" s="1"/>
  <c r="E21" i="108" l="1"/>
  <c r="E22" i="108" s="1"/>
  <c r="E17" i="108"/>
  <c r="E13" i="108"/>
  <c r="E29" i="108" l="1"/>
  <c r="F42" i="137"/>
  <c r="F40" i="137"/>
  <c r="F41" i="137" s="1"/>
  <c r="J22" i="137"/>
  <c r="J29" i="137" s="1"/>
  <c r="J17" i="137"/>
  <c r="F22" i="137"/>
  <c r="F35" i="137"/>
  <c r="E35" i="137" s="1"/>
  <c r="D35" i="137" s="1"/>
  <c r="F36" i="137"/>
  <c r="E36" i="137" s="1"/>
  <c r="D36" i="137" s="1"/>
  <c r="J36" i="137"/>
  <c r="I36" i="137" s="1"/>
  <c r="H36" i="137" s="1"/>
  <c r="J35" i="137"/>
  <c r="I35" i="137" s="1"/>
  <c r="H35" i="137" s="1"/>
  <c r="H37" i="137" s="1"/>
  <c r="F31" i="137"/>
  <c r="E31" i="137" s="1"/>
  <c r="D31" i="137" s="1"/>
  <c r="J31" i="137"/>
  <c r="I31" i="137" s="1"/>
  <c r="H31" i="137" s="1"/>
  <c r="J30" i="137"/>
  <c r="I30" i="137" s="1"/>
  <c r="H30" i="137" s="1"/>
  <c r="F30" i="137"/>
  <c r="E30" i="137" s="1"/>
  <c r="D30" i="137" s="1"/>
  <c r="F13" i="137"/>
  <c r="F29" i="137" l="1"/>
  <c r="C24" i="137"/>
  <c r="C27" i="137" s="1"/>
  <c r="C47" i="137" s="1"/>
  <c r="D37" i="137"/>
  <c r="J37" i="137"/>
  <c r="E37" i="137"/>
  <c r="I37" i="137"/>
  <c r="F37" i="137"/>
  <c r="E41" i="131"/>
  <c r="E31" i="131"/>
  <c r="I31" i="131"/>
  <c r="E46" i="131"/>
  <c r="E37" i="131"/>
  <c r="E22" i="131"/>
  <c r="E17" i="131"/>
  <c r="E13" i="131"/>
  <c r="C48" i="137" l="1"/>
  <c r="C53" i="137" s="1"/>
  <c r="C52" i="137"/>
  <c r="C51" i="137"/>
  <c r="C50" i="137"/>
  <c r="C55" i="137"/>
  <c r="E29" i="131"/>
  <c r="J32" i="136"/>
  <c r="I32" i="136" s="1"/>
  <c r="H32" i="136" s="1"/>
  <c r="G32" i="136" s="1"/>
  <c r="F32" i="136"/>
  <c r="E32" i="136" s="1"/>
  <c r="D32" i="136" s="1"/>
  <c r="C32" i="136" s="1"/>
  <c r="F42" i="136"/>
  <c r="F37" i="126" l="1"/>
  <c r="F21" i="126"/>
  <c r="F33" i="126" s="1"/>
  <c r="F17" i="126"/>
  <c r="F13" i="126"/>
  <c r="F40" i="126"/>
  <c r="F41" i="126" s="1"/>
  <c r="F46" i="126"/>
  <c r="F24" i="126"/>
  <c r="F25" i="126" s="1"/>
  <c r="F27" i="126" s="1"/>
  <c r="F47" i="126" s="1"/>
  <c r="F29" i="126"/>
  <c r="F34" i="126" l="1"/>
  <c r="C48" i="126"/>
  <c r="C53" i="126" s="1"/>
  <c r="F52" i="126"/>
  <c r="F50" i="126"/>
  <c r="F55" i="126"/>
  <c r="F51" i="126"/>
  <c r="E36" i="97"/>
  <c r="D36" i="97" s="1"/>
  <c r="E35" i="97"/>
  <c r="D35" i="97" s="1"/>
  <c r="F13" i="97"/>
  <c r="F22" i="97"/>
  <c r="C24" i="97" s="1"/>
  <c r="F17" i="97"/>
  <c r="F46" i="97"/>
  <c r="D37" i="97" l="1"/>
  <c r="C25" i="97"/>
  <c r="C27" i="97" s="1"/>
  <c r="C47" i="97" s="1"/>
  <c r="E37" i="97"/>
  <c r="B48" i="97" s="1"/>
  <c r="B53" i="97" s="1"/>
  <c r="F37" i="97"/>
  <c r="F29" i="97"/>
  <c r="E41" i="134"/>
  <c r="E40" i="134"/>
  <c r="C50" i="97" l="1"/>
  <c r="C55" i="97"/>
  <c r="C51" i="97"/>
  <c r="C52" i="97"/>
  <c r="C48" i="97"/>
  <c r="C53" i="97" s="1"/>
  <c r="E30" i="134"/>
  <c r="I30" i="134"/>
  <c r="E32" i="134"/>
  <c r="I32" i="134"/>
  <c r="E36" i="134"/>
  <c r="E13" i="134"/>
  <c r="E22" i="134"/>
  <c r="E17" i="134"/>
  <c r="E46" i="134"/>
  <c r="E29" i="134" l="1"/>
  <c r="E35" i="134" s="1"/>
  <c r="E37" i="134" s="1"/>
  <c r="F40" i="136"/>
  <c r="F41" i="136" s="1"/>
  <c r="F37" i="136"/>
  <c r="F22" i="136"/>
  <c r="C24" i="136" s="1"/>
  <c r="C25" i="136" s="1"/>
  <c r="C27" i="136" s="1"/>
  <c r="C47" i="136" s="1"/>
  <c r="F17" i="136"/>
  <c r="C55" i="136" l="1"/>
  <c r="C52" i="136"/>
  <c r="C51" i="136"/>
  <c r="C50" i="136"/>
  <c r="F29" i="136"/>
  <c r="C40" i="9"/>
  <c r="C41" i="9" s="1"/>
  <c r="C39" i="9"/>
  <c r="C55" i="9"/>
  <c r="C46" i="9"/>
  <c r="D46" i="9"/>
  <c r="C37" i="9"/>
  <c r="C29" i="9"/>
  <c r="C22" i="9"/>
  <c r="C17" i="9"/>
  <c r="C13" i="9"/>
  <c r="E40" i="65" l="1"/>
  <c r="E39" i="65"/>
  <c r="E41" i="65" s="1"/>
  <c r="F39" i="65"/>
  <c r="E46" i="65"/>
  <c r="E37" i="65"/>
  <c r="E29" i="65"/>
  <c r="E34" i="65" s="1"/>
  <c r="E22" i="65"/>
  <c r="E17" i="65"/>
  <c r="E13" i="65"/>
  <c r="H46" i="116" l="1"/>
  <c r="G46" i="116"/>
  <c r="F46" i="116"/>
  <c r="F37" i="116"/>
  <c r="C48" i="116" s="1"/>
  <c r="C53" i="116" s="1"/>
  <c r="F41" i="116" l="1"/>
  <c r="F22" i="116"/>
  <c r="C24" i="116" s="1"/>
  <c r="F17" i="116"/>
  <c r="F13" i="116"/>
  <c r="C26" i="116" l="1"/>
  <c r="C27" i="116" s="1"/>
  <c r="C47" i="116" s="1"/>
  <c r="F29" i="116"/>
  <c r="F34" i="116" s="1"/>
  <c r="F40" i="19"/>
  <c r="F41" i="19" s="1"/>
  <c r="F22" i="19"/>
  <c r="F17" i="19"/>
  <c r="F35" i="19"/>
  <c r="E35" i="19" s="1"/>
  <c r="D35" i="19" s="1"/>
  <c r="F30" i="19"/>
  <c r="E30" i="19" s="1"/>
  <c r="D30" i="19" s="1"/>
  <c r="F31" i="19"/>
  <c r="E31" i="19" s="1"/>
  <c r="D31" i="19" s="1"/>
  <c r="F13" i="19"/>
  <c r="C51" i="116" l="1"/>
  <c r="C50" i="116"/>
  <c r="C52" i="116"/>
  <c r="C24" i="19"/>
  <c r="F29" i="19"/>
  <c r="E35" i="34"/>
  <c r="D35" i="34" s="1"/>
  <c r="E36" i="34"/>
  <c r="D36" i="34" s="1"/>
  <c r="E42" i="34"/>
  <c r="E37" i="34"/>
  <c r="E41" i="34"/>
  <c r="E22" i="34"/>
  <c r="E17" i="34"/>
  <c r="E13" i="34"/>
  <c r="C26" i="19" l="1"/>
  <c r="C27" i="19"/>
  <c r="C47" i="19" s="1"/>
  <c r="D37" i="34"/>
  <c r="E29" i="34"/>
  <c r="C51" i="19" l="1"/>
  <c r="C55" i="19"/>
  <c r="C50" i="19"/>
  <c r="C52" i="19"/>
  <c r="E41" i="141"/>
  <c r="J55" i="141"/>
  <c r="E55" i="141"/>
  <c r="H37" i="141"/>
  <c r="E53" i="141"/>
  <c r="F10" i="141"/>
  <c r="G10" i="141" s="1"/>
  <c r="H10" i="141" s="1"/>
  <c r="I10" i="141" s="1"/>
  <c r="J10" i="141" s="1"/>
  <c r="E52" i="141" l="1"/>
  <c r="E51" i="141"/>
  <c r="E50" i="141"/>
  <c r="H29" i="141"/>
  <c r="F36" i="98"/>
  <c r="E36" i="98" s="1"/>
  <c r="D36" i="98" s="1"/>
  <c r="F35" i="98"/>
  <c r="E35" i="98" s="1"/>
  <c r="D35" i="98" s="1"/>
  <c r="D37" i="98" s="1"/>
  <c r="F39" i="98"/>
  <c r="F40" i="98" s="1"/>
  <c r="F41" i="98" s="1"/>
  <c r="F22" i="98"/>
  <c r="F17" i="98"/>
  <c r="F13" i="98"/>
  <c r="F46" i="98"/>
  <c r="I15" i="1"/>
  <c r="F29" i="98" l="1"/>
  <c r="C24" i="98"/>
  <c r="C25" i="98" s="1"/>
  <c r="C27" i="98" s="1"/>
  <c r="C47" i="98" s="1"/>
  <c r="C48" i="98"/>
  <c r="C53" i="98" s="1"/>
  <c r="F37" i="98"/>
  <c r="E37" i="98"/>
  <c r="J36" i="114"/>
  <c r="I36" i="114" s="1"/>
  <c r="J35" i="114"/>
  <c r="I35" i="114" s="1"/>
  <c r="F42" i="114"/>
  <c r="F39" i="114"/>
  <c r="J31" i="114"/>
  <c r="F22" i="114"/>
  <c r="C24" i="114" s="1"/>
  <c r="F17" i="114"/>
  <c r="F36" i="114"/>
  <c r="E36" i="114" s="1"/>
  <c r="D36" i="114" s="1"/>
  <c r="F35" i="114"/>
  <c r="E35" i="114" s="1"/>
  <c r="D35" i="114" s="1"/>
  <c r="F13" i="114"/>
  <c r="O15" i="1"/>
  <c r="J15" i="1"/>
  <c r="C15" i="1"/>
  <c r="E15" i="1"/>
  <c r="F15" i="1"/>
  <c r="C52" i="98" l="1"/>
  <c r="C51" i="98"/>
  <c r="C55" i="98"/>
  <c r="C50" i="98"/>
  <c r="D37" i="114"/>
  <c r="F37" i="114"/>
  <c r="E37" i="114"/>
  <c r="F29" i="114"/>
  <c r="F40" i="113"/>
  <c r="F41" i="113" s="1"/>
  <c r="F32" i="113"/>
  <c r="F37" i="113"/>
  <c r="F13" i="113"/>
  <c r="F22" i="113"/>
  <c r="F17" i="113"/>
  <c r="C48" i="113" l="1"/>
  <c r="C53" i="113" s="1"/>
  <c r="C48" i="114"/>
  <c r="C53" i="114" s="1"/>
  <c r="C24" i="113"/>
  <c r="F29" i="113"/>
  <c r="I20" i="45"/>
  <c r="I16" i="45" s="1"/>
  <c r="AB16" i="45"/>
  <c r="AB18" i="45" s="1"/>
  <c r="E14" i="45" s="1"/>
  <c r="AC16" i="45"/>
  <c r="AC18" i="45" s="1"/>
  <c r="F40" i="45"/>
  <c r="F41" i="45" s="1"/>
  <c r="E20" i="45"/>
  <c r="E33" i="45" s="1"/>
  <c r="E40" i="45"/>
  <c r="E41" i="45" s="1"/>
  <c r="E29" i="45"/>
  <c r="E37" i="45"/>
  <c r="E13" i="45"/>
  <c r="C25" i="113" l="1"/>
  <c r="C27" i="113" s="1"/>
  <c r="C47" i="113" s="1"/>
  <c r="E16" i="45"/>
  <c r="E17" i="45" s="1"/>
  <c r="E34" i="45"/>
  <c r="J32" i="111"/>
  <c r="F31" i="111"/>
  <c r="F32" i="111"/>
  <c r="F37" i="111"/>
  <c r="F13" i="111"/>
  <c r="F40" i="111"/>
  <c r="F41" i="111" s="1"/>
  <c r="F22" i="111"/>
  <c r="C24" i="111" s="1"/>
  <c r="F17" i="111"/>
  <c r="C26" i="111" l="1"/>
  <c r="C27" i="111" s="1"/>
  <c r="C47" i="111" s="1"/>
  <c r="C55" i="113"/>
  <c r="C52" i="113"/>
  <c r="C51" i="113"/>
  <c r="C50" i="113"/>
  <c r="F29" i="111"/>
  <c r="F13" i="89"/>
  <c r="F22" i="89"/>
  <c r="F17" i="89"/>
  <c r="F31" i="89"/>
  <c r="F30" i="89"/>
  <c r="F32" i="89"/>
  <c r="J32" i="89"/>
  <c r="F37" i="89"/>
  <c r="C48" i="89" l="1"/>
  <c r="C53" i="89" s="1"/>
  <c r="C24" i="89"/>
  <c r="C50" i="111"/>
  <c r="C51" i="111"/>
  <c r="C52" i="111"/>
  <c r="C55" i="111"/>
  <c r="F29" i="89"/>
  <c r="F36" i="54"/>
  <c r="F37" i="54" s="1"/>
  <c r="F32" i="54"/>
  <c r="J32" i="54"/>
  <c r="F41" i="54"/>
  <c r="F22" i="54"/>
  <c r="F17" i="54"/>
  <c r="F13" i="54"/>
  <c r="F55" i="54"/>
  <c r="F46" i="54"/>
  <c r="C25" i="89" l="1"/>
  <c r="C27" i="89" s="1"/>
  <c r="C47" i="89" s="1"/>
  <c r="C48" i="54"/>
  <c r="C53" i="54" s="1"/>
  <c r="C24" i="54"/>
  <c r="F29" i="54"/>
  <c r="F22" i="76"/>
  <c r="F29" i="76" s="1"/>
  <c r="F31" i="76"/>
  <c r="E31" i="76" s="1"/>
  <c r="D31" i="76" s="1"/>
  <c r="E35" i="76"/>
  <c r="D35" i="76" s="1"/>
  <c r="E36" i="76"/>
  <c r="D36" i="76" s="1"/>
  <c r="F25" i="76"/>
  <c r="F27" i="76" s="1"/>
  <c r="F41" i="76"/>
  <c r="F17" i="76"/>
  <c r="F13" i="76"/>
  <c r="C50" i="89" l="1"/>
  <c r="C51" i="89"/>
  <c r="C52" i="89"/>
  <c r="C25" i="54"/>
  <c r="C27" i="54"/>
  <c r="C47" i="54" s="1"/>
  <c r="D37" i="76"/>
  <c r="E37" i="76"/>
  <c r="F37" i="76"/>
  <c r="F47" i="76"/>
  <c r="F52" i="76" s="1"/>
  <c r="C52" i="54" l="1"/>
  <c r="C50" i="54"/>
  <c r="C55" i="54"/>
  <c r="C51" i="54"/>
  <c r="C48" i="76"/>
  <c r="C53" i="76" s="1"/>
  <c r="B48" i="76"/>
  <c r="B53" i="76" s="1"/>
  <c r="F50" i="76"/>
  <c r="F51" i="76"/>
  <c r="D39" i="96"/>
  <c r="C39" i="96" s="1"/>
  <c r="D32" i="96"/>
  <c r="D37" i="96"/>
  <c r="D22" i="96"/>
  <c r="D17" i="96"/>
  <c r="D29" i="96" l="1"/>
  <c r="D34" i="96" s="1"/>
  <c r="F31" i="28"/>
  <c r="E31" i="28" s="1"/>
  <c r="D31" i="28" s="1"/>
  <c r="J31" i="28"/>
  <c r="I31" i="28" s="1"/>
  <c r="E35" i="28"/>
  <c r="D35" i="28" s="1"/>
  <c r="E36" i="28"/>
  <c r="D36" i="28" s="1"/>
  <c r="F42" i="28"/>
  <c r="F40" i="28"/>
  <c r="F41" i="28"/>
  <c r="F22" i="28"/>
  <c r="C24" i="28" s="1"/>
  <c r="F17" i="28"/>
  <c r="F14" i="28"/>
  <c r="F13" i="28"/>
  <c r="O41" i="1"/>
  <c r="D37" i="28" l="1"/>
  <c r="C26" i="28"/>
  <c r="C27" i="28" s="1"/>
  <c r="C47" i="28" s="1"/>
  <c r="F29" i="28"/>
  <c r="E37" i="28"/>
  <c r="F37" i="28"/>
  <c r="E32" i="102"/>
  <c r="E33" i="102"/>
  <c r="E37" i="102"/>
  <c r="E22" i="102"/>
  <c r="E29" i="102" s="1"/>
  <c r="E17" i="102"/>
  <c r="E13" i="102"/>
  <c r="B48" i="28" l="1"/>
  <c r="B53" i="28" s="1"/>
  <c r="C55" i="28"/>
  <c r="C50" i="28"/>
  <c r="C51" i="28"/>
  <c r="C52" i="28"/>
  <c r="C48" i="28"/>
  <c r="C53" i="28" s="1"/>
  <c r="F42" i="95"/>
  <c r="F40" i="95"/>
  <c r="F41" i="95" s="1"/>
  <c r="F31" i="95"/>
  <c r="E31" i="95" s="1"/>
  <c r="D31" i="95" s="1"/>
  <c r="E30" i="95"/>
  <c r="D30" i="95" s="1"/>
  <c r="F22" i="95"/>
  <c r="C24" i="95" s="1"/>
  <c r="C27" i="95" s="1"/>
  <c r="C47" i="95" s="1"/>
  <c r="F17" i="95"/>
  <c r="F32" i="95"/>
  <c r="E32" i="95" s="1"/>
  <c r="D32" i="95" s="1"/>
  <c r="F36" i="95"/>
  <c r="E36" i="95" s="1"/>
  <c r="D36" i="95" s="1"/>
  <c r="F35" i="95"/>
  <c r="E35" i="95" s="1"/>
  <c r="D35" i="95" s="1"/>
  <c r="D37" i="95" s="1"/>
  <c r="F13" i="95"/>
  <c r="C55" i="95" l="1"/>
  <c r="C51" i="95"/>
  <c r="C52" i="95"/>
  <c r="C50" i="95"/>
  <c r="F29" i="95"/>
  <c r="F37" i="95"/>
  <c r="E37" i="95"/>
  <c r="F30" i="103"/>
  <c r="F31" i="103"/>
  <c r="F41" i="103"/>
  <c r="F32" i="103"/>
  <c r="D32" i="103" s="1"/>
  <c r="F37" i="103"/>
  <c r="F22" i="103"/>
  <c r="F17" i="103"/>
  <c r="F13" i="103"/>
  <c r="F55" i="103"/>
  <c r="C24" i="103" l="1"/>
  <c r="C25" i="103" s="1"/>
  <c r="C27" i="103" s="1"/>
  <c r="C47" i="103" s="1"/>
  <c r="C48" i="103"/>
  <c r="C53" i="103" s="1"/>
  <c r="C48" i="95"/>
  <c r="C53" i="95" s="1"/>
  <c r="F29" i="103"/>
  <c r="G13" i="48"/>
  <c r="F42" i="48"/>
  <c r="F46" i="48"/>
  <c r="F40" i="48"/>
  <c r="F41" i="48" s="1"/>
  <c r="F35" i="48"/>
  <c r="E35" i="48" s="1"/>
  <c r="D35" i="48" s="1"/>
  <c r="F22" i="48"/>
  <c r="C24" i="48" s="1"/>
  <c r="F17" i="48"/>
  <c r="F13" i="48"/>
  <c r="C52" i="103" l="1"/>
  <c r="C50" i="103"/>
  <c r="C51" i="103"/>
  <c r="F29" i="48"/>
  <c r="D40" i="42"/>
  <c r="D42" i="42"/>
  <c r="D41" i="42"/>
  <c r="D16" i="42"/>
  <c r="D22" i="42"/>
  <c r="D13" i="42"/>
  <c r="D17" i="42" l="1"/>
  <c r="D29" i="42"/>
  <c r="F13" i="83"/>
  <c r="F42" i="83"/>
  <c r="F40" i="83"/>
  <c r="F41" i="83" s="1"/>
  <c r="F17" i="83"/>
  <c r="F22" i="83"/>
  <c r="F30" i="83"/>
  <c r="E30" i="83" s="1"/>
  <c r="D30" i="83" s="1"/>
  <c r="F35" i="83"/>
  <c r="E35" i="83" s="1"/>
  <c r="D35" i="83" s="1"/>
  <c r="F36" i="83"/>
  <c r="E36" i="83" s="1"/>
  <c r="D36" i="83" s="1"/>
  <c r="C24" i="83" l="1"/>
  <c r="C27" i="83" s="1"/>
  <c r="C47" i="83" s="1"/>
  <c r="D37" i="83"/>
  <c r="F37" i="83"/>
  <c r="F29" i="83"/>
  <c r="E37" i="83"/>
  <c r="E40" i="25"/>
  <c r="E41" i="25" s="1"/>
  <c r="E32" i="25"/>
  <c r="D32" i="25" s="1"/>
  <c r="E37" i="25"/>
  <c r="I22" i="25"/>
  <c r="I17" i="25"/>
  <c r="E22" i="25"/>
  <c r="E17" i="25"/>
  <c r="E13" i="25"/>
  <c r="E42" i="25"/>
  <c r="C48" i="83" l="1"/>
  <c r="C53" i="83" s="1"/>
  <c r="C52" i="83"/>
  <c r="C55" i="83"/>
  <c r="C50" i="83"/>
  <c r="C51" i="83"/>
  <c r="D34" i="25"/>
  <c r="C32" i="25"/>
  <c r="C34" i="25" s="1"/>
  <c r="E29" i="25"/>
  <c r="E34" i="25" s="1"/>
  <c r="F30" i="15"/>
  <c r="E30" i="15" s="1"/>
  <c r="D30" i="15" s="1"/>
  <c r="F31" i="15"/>
  <c r="E31" i="15" s="1"/>
  <c r="D31" i="15" s="1"/>
  <c r="F40" i="15"/>
  <c r="F13" i="15"/>
  <c r="F22" i="15"/>
  <c r="C24" i="15" s="1"/>
  <c r="C27" i="15" s="1"/>
  <c r="C47" i="15" s="1"/>
  <c r="F17" i="15"/>
  <c r="F46" i="15"/>
  <c r="C55" i="15" l="1"/>
  <c r="C52" i="15"/>
  <c r="C51" i="15"/>
  <c r="C50" i="15"/>
  <c r="F29" i="15"/>
  <c r="C42" i="122"/>
  <c r="C41" i="122"/>
  <c r="C35" i="122"/>
  <c r="C36" i="122"/>
  <c r="B36" i="122" s="1"/>
  <c r="C22" i="122"/>
  <c r="C17" i="122"/>
  <c r="C13" i="122"/>
  <c r="C37" i="122" l="1"/>
  <c r="B35" i="122"/>
  <c r="B37" i="122" s="1"/>
  <c r="C29" i="122"/>
  <c r="B40" i="125"/>
  <c r="B41" i="125" s="1"/>
  <c r="Q42" i="125"/>
  <c r="R41" i="125"/>
  <c r="R40" i="125"/>
  <c r="Q41" i="125"/>
  <c r="B22" i="125"/>
  <c r="B29" i="125" s="1"/>
  <c r="B17" i="125"/>
  <c r="B16" i="125"/>
  <c r="B42" i="125"/>
  <c r="B33" i="125"/>
  <c r="B35" i="125"/>
  <c r="B31" i="125"/>
  <c r="B30" i="125"/>
  <c r="B13" i="125"/>
  <c r="R42" i="125" l="1"/>
  <c r="G40" i="123"/>
  <c r="G41" i="123" s="1"/>
  <c r="F42" i="123"/>
  <c r="F40" i="123"/>
  <c r="F41" i="123" s="1"/>
  <c r="F22" i="123"/>
  <c r="F17" i="123"/>
  <c r="F30" i="123"/>
  <c r="E30" i="123" s="1"/>
  <c r="D30" i="123" s="1"/>
  <c r="F31" i="123"/>
  <c r="E31" i="123" s="1"/>
  <c r="D31" i="123" s="1"/>
  <c r="F35" i="123"/>
  <c r="E35" i="123" s="1"/>
  <c r="D35" i="123" s="1"/>
  <c r="D37" i="123" s="1"/>
  <c r="F36" i="123"/>
  <c r="E36" i="123" s="1"/>
  <c r="D36" i="123" s="1"/>
  <c r="F13" i="123"/>
  <c r="C24" i="123" l="1"/>
  <c r="E37" i="123"/>
  <c r="C48" i="123" s="1"/>
  <c r="C53" i="123" s="1"/>
  <c r="F37" i="123"/>
  <c r="F29" i="123"/>
  <c r="L55" i="140"/>
  <c r="K55" i="140"/>
  <c r="J55" i="140"/>
  <c r="E55" i="140"/>
  <c r="E53" i="140"/>
  <c r="F10" i="140"/>
  <c r="G10" i="140" s="1"/>
  <c r="H10" i="140" s="1"/>
  <c r="I10" i="140" s="1"/>
  <c r="J10" i="140" s="1"/>
  <c r="K10" i="140" s="1"/>
  <c r="L10" i="140" s="1"/>
  <c r="C25" i="123" l="1"/>
  <c r="C27" i="123"/>
  <c r="C47" i="123" s="1"/>
  <c r="E52" i="140"/>
  <c r="E51" i="140"/>
  <c r="E50" i="140"/>
  <c r="F40" i="64"/>
  <c r="F41" i="64" s="1"/>
  <c r="G40" i="64"/>
  <c r="G41" i="64" s="1"/>
  <c r="H40" i="64"/>
  <c r="H41" i="64" s="1"/>
  <c r="I40" i="64"/>
  <c r="I41" i="64" s="1"/>
  <c r="J40" i="64"/>
  <c r="J41" i="64" s="1"/>
  <c r="N22" i="64"/>
  <c r="M22" i="64"/>
  <c r="L22" i="64"/>
  <c r="K22" i="64"/>
  <c r="J22" i="64"/>
  <c r="I22" i="64"/>
  <c r="H22" i="64"/>
  <c r="G22" i="64"/>
  <c r="F22" i="64"/>
  <c r="C105" i="1"/>
  <c r="C55" i="123" l="1"/>
  <c r="C52" i="123"/>
  <c r="C51" i="123"/>
  <c r="C50" i="123"/>
  <c r="D24" i="64"/>
  <c r="D27" i="64" s="1"/>
  <c r="D47" i="64" s="1"/>
  <c r="E24" i="64"/>
  <c r="E27" i="64" s="1"/>
  <c r="E47" i="64" s="1"/>
  <c r="O105" i="1"/>
  <c r="J105" i="1"/>
  <c r="E105" i="1"/>
  <c r="I105" i="1"/>
  <c r="F105" i="1"/>
  <c r="E55" i="64" l="1"/>
  <c r="E52" i="64"/>
  <c r="E51" i="64"/>
  <c r="E50" i="64"/>
  <c r="D55" i="64"/>
  <c r="D52" i="64"/>
  <c r="D50" i="64"/>
  <c r="D51" i="64"/>
  <c r="F40" i="27"/>
  <c r="J32" i="27"/>
  <c r="F37" i="27"/>
  <c r="F13" i="27"/>
  <c r="F22" i="27"/>
  <c r="F17" i="27"/>
  <c r="F29" i="27" l="1"/>
  <c r="F34" i="27" s="1"/>
  <c r="F46" i="135"/>
  <c r="E46" i="135" s="1"/>
  <c r="D46" i="135" s="1"/>
  <c r="F48" i="135"/>
  <c r="J17" i="135"/>
  <c r="J16" i="135"/>
  <c r="I16" i="135" s="1"/>
  <c r="E16" i="135"/>
  <c r="F40" i="135"/>
  <c r="F41" i="135" s="1"/>
  <c r="J32" i="135"/>
  <c r="F37" i="135"/>
  <c r="J36" i="135"/>
  <c r="J37" i="135" s="1"/>
  <c r="F13" i="135"/>
  <c r="J22" i="135" l="1"/>
  <c r="J29" i="135" s="1"/>
  <c r="F17" i="135"/>
  <c r="E22" i="135"/>
  <c r="E29" i="135" s="1"/>
  <c r="E17" i="135"/>
  <c r="I17" i="135"/>
  <c r="I22" i="135"/>
  <c r="I29" i="135" s="1"/>
  <c r="F22" i="135"/>
  <c r="F29" i="135" s="1"/>
  <c r="F53" i="135"/>
  <c r="J31" i="130"/>
  <c r="I31" i="130" s="1"/>
  <c r="E31" i="130"/>
  <c r="D31" i="130" s="1"/>
  <c r="C31" i="130" s="1"/>
  <c r="J30" i="130"/>
  <c r="I30" i="130" s="1"/>
  <c r="F30" i="130"/>
  <c r="E30" i="130" s="1"/>
  <c r="D30" i="130" s="1"/>
  <c r="F37" i="130"/>
  <c r="C48" i="130" s="1"/>
  <c r="C53" i="130" s="1"/>
  <c r="F40" i="130"/>
  <c r="F22" i="130"/>
  <c r="F17" i="130"/>
  <c r="F41" i="130"/>
  <c r="F13" i="130"/>
  <c r="F46" i="130"/>
  <c r="F29" i="130" l="1"/>
  <c r="K22" i="137"/>
  <c r="K29" i="137" s="1"/>
  <c r="K17" i="137"/>
  <c r="G22" i="137"/>
  <c r="G17" i="137"/>
  <c r="H41" i="137"/>
  <c r="G40" i="137"/>
  <c r="G41" i="137" s="1"/>
  <c r="K32" i="137"/>
  <c r="J32" i="137" s="1"/>
  <c r="I32" i="137" s="1"/>
  <c r="H32" i="137" s="1"/>
  <c r="E32" i="137"/>
  <c r="D32" i="137" s="1"/>
  <c r="K37" i="137"/>
  <c r="H48" i="137" s="1"/>
  <c r="G37" i="137"/>
  <c r="G13" i="137"/>
  <c r="G29" i="137" l="1"/>
  <c r="E24" i="137"/>
  <c r="D24" i="137"/>
  <c r="G48" i="137"/>
  <c r="G53" i="137" s="1"/>
  <c r="D48" i="137"/>
  <c r="D53" i="137" s="1"/>
  <c r="F48" i="137"/>
  <c r="F53" i="137" s="1"/>
  <c r="E48" i="137"/>
  <c r="E53" i="137" s="1"/>
  <c r="F32" i="133"/>
  <c r="F53" i="133"/>
  <c r="F47" i="133"/>
  <c r="F50" i="133" s="1"/>
  <c r="F27" i="133"/>
  <c r="F41" i="133"/>
  <c r="F52" i="133" s="1"/>
  <c r="F22" i="133"/>
  <c r="F29" i="133" s="1"/>
  <c r="F17" i="133"/>
  <c r="F13" i="133"/>
  <c r="D25" i="137" l="1"/>
  <c r="D27" i="137"/>
  <c r="D47" i="137" s="1"/>
  <c r="F55" i="133"/>
  <c r="F51" i="133"/>
  <c r="E35" i="121"/>
  <c r="F40" i="121"/>
  <c r="F41" i="121" s="1"/>
  <c r="F22" i="121"/>
  <c r="F29" i="121" s="1"/>
  <c r="F17" i="121"/>
  <c r="F13" i="121"/>
  <c r="F55" i="121"/>
  <c r="D55" i="137" l="1"/>
  <c r="D50" i="137"/>
  <c r="D52" i="137"/>
  <c r="D51" i="137"/>
  <c r="D35" i="121"/>
  <c r="E37" i="121"/>
  <c r="F37" i="121"/>
  <c r="F46" i="108"/>
  <c r="F40" i="108"/>
  <c r="F41" i="108" s="1"/>
  <c r="F32" i="108"/>
  <c r="F22" i="108"/>
  <c r="F17" i="108"/>
  <c r="F21" i="108"/>
  <c r="F13" i="108"/>
  <c r="D37" i="121" l="1"/>
  <c r="C35" i="121"/>
  <c r="C37" i="121" s="1"/>
  <c r="F29" i="108"/>
  <c r="G40" i="138"/>
  <c r="F40" i="138" s="1"/>
  <c r="G39" i="138"/>
  <c r="F39" i="138" s="1"/>
  <c r="J22" i="138"/>
  <c r="J29" i="138" s="1"/>
  <c r="I22" i="138"/>
  <c r="I29" i="138" s="1"/>
  <c r="F29" i="138"/>
  <c r="C48" i="121" l="1"/>
  <c r="C53" i="121" s="1"/>
  <c r="B48" i="121"/>
  <c r="B53" i="121" s="1"/>
  <c r="H29" i="138"/>
  <c r="E24" i="138"/>
  <c r="E25" i="138" s="1"/>
  <c r="E27" i="138" s="1"/>
  <c r="E47" i="138" s="1"/>
  <c r="F37" i="138"/>
  <c r="E35" i="138"/>
  <c r="G24" i="138"/>
  <c r="G27" i="138" s="1"/>
  <c r="G47" i="138" s="1"/>
  <c r="F24" i="138"/>
  <c r="F27" i="138" s="1"/>
  <c r="F47" i="138" s="1"/>
  <c r="F41" i="138"/>
  <c r="D40" i="81"/>
  <c r="C40" i="81" s="1"/>
  <c r="D39" i="81"/>
  <c r="C39" i="81" s="1"/>
  <c r="D22" i="81"/>
  <c r="D17" i="81"/>
  <c r="D31" i="81"/>
  <c r="D30" i="81"/>
  <c r="D32" i="81"/>
  <c r="D36" i="81"/>
  <c r="D37" i="81" s="1"/>
  <c r="D13" i="81"/>
  <c r="D55" i="81"/>
  <c r="D46" i="81"/>
  <c r="E37" i="138" l="1"/>
  <c r="D35" i="138"/>
  <c r="D37" i="138" s="1"/>
  <c r="C41" i="81"/>
  <c r="E51" i="138"/>
  <c r="E50" i="138"/>
  <c r="E52" i="138"/>
  <c r="E55" i="138"/>
  <c r="D41" i="81"/>
  <c r="F50" i="138"/>
  <c r="F52" i="138"/>
  <c r="F55" i="138"/>
  <c r="F51" i="138"/>
  <c r="D29" i="81"/>
  <c r="F39" i="47"/>
  <c r="E39" i="47" s="1"/>
  <c r="F40" i="47"/>
  <c r="E40" i="47" s="1"/>
  <c r="D40" i="47" s="1"/>
  <c r="F32" i="47"/>
  <c r="F37" i="47"/>
  <c r="F13" i="47"/>
  <c r="F17" i="47"/>
  <c r="F22" i="47"/>
  <c r="C24" i="47" s="1"/>
  <c r="C26" i="47" l="1"/>
  <c r="C27" i="47"/>
  <c r="C47" i="47" s="1"/>
  <c r="D41" i="47"/>
  <c r="F41" i="47"/>
  <c r="D39" i="47"/>
  <c r="E41" i="47"/>
  <c r="F29" i="47"/>
  <c r="F46" i="47"/>
  <c r="C50" i="47" l="1"/>
  <c r="C55" i="47"/>
  <c r="C52" i="47"/>
  <c r="C51" i="47"/>
  <c r="F31" i="131"/>
  <c r="F37" i="131"/>
  <c r="F44" i="131"/>
  <c r="F40" i="131"/>
  <c r="F41" i="131" s="1"/>
  <c r="J22" i="131"/>
  <c r="J17" i="131"/>
  <c r="K22" i="131"/>
  <c r="K17" i="131"/>
  <c r="G22" i="131"/>
  <c r="G17" i="131"/>
  <c r="F22" i="131"/>
  <c r="F17" i="131"/>
  <c r="F13" i="131"/>
  <c r="F46" i="131"/>
  <c r="F29" i="131" l="1"/>
  <c r="E24" i="131"/>
  <c r="D24" i="131"/>
  <c r="F24" i="131"/>
  <c r="F41" i="72"/>
  <c r="F22" i="72"/>
  <c r="F17" i="72"/>
  <c r="F13" i="72"/>
  <c r="F29" i="72" l="1"/>
  <c r="F35" i="72" s="1"/>
  <c r="F37" i="72" s="1"/>
  <c r="C48" i="72" s="1"/>
  <c r="C53" i="72" s="1"/>
  <c r="D26" i="131"/>
  <c r="D27" i="131" s="1"/>
  <c r="D47" i="131" s="1"/>
  <c r="E26" i="131"/>
  <c r="E27" i="131" s="1"/>
  <c r="E47" i="131" s="1"/>
  <c r="F26" i="131"/>
  <c r="F27" i="131"/>
  <c r="F47" i="131" s="1"/>
  <c r="F55" i="72"/>
  <c r="F46" i="72"/>
  <c r="D50" i="131" l="1"/>
  <c r="D55" i="131"/>
  <c r="D51" i="131"/>
  <c r="D52" i="131"/>
  <c r="E52" i="131"/>
  <c r="E51" i="131"/>
  <c r="E50" i="131"/>
  <c r="E55" i="131"/>
  <c r="F50" i="131"/>
  <c r="F52" i="131"/>
  <c r="F55" i="131"/>
  <c r="F51" i="131"/>
  <c r="F22" i="129"/>
  <c r="C24" i="129" s="1"/>
  <c r="F17" i="129"/>
  <c r="F40" i="129"/>
  <c r="F41" i="129"/>
  <c r="F31" i="129"/>
  <c r="E31" i="129" s="1"/>
  <c r="D31" i="129" s="1"/>
  <c r="J31" i="129"/>
  <c r="H31" i="129" s="1"/>
  <c r="F30" i="129"/>
  <c r="E30" i="129" s="1"/>
  <c r="D30" i="129" s="1"/>
  <c r="J32" i="129"/>
  <c r="F32" i="129"/>
  <c r="E32" i="129" s="1"/>
  <c r="D32" i="129" s="1"/>
  <c r="E36" i="129"/>
  <c r="F13" i="129"/>
  <c r="C25" i="129" l="1"/>
  <c r="C27" i="129"/>
  <c r="C47" i="129" s="1"/>
  <c r="D36" i="129"/>
  <c r="E37" i="129"/>
  <c r="F37" i="129"/>
  <c r="F29" i="129"/>
  <c r="F37" i="58"/>
  <c r="F12" i="58"/>
  <c r="F55" i="58"/>
  <c r="F41" i="58"/>
  <c r="F22" i="58"/>
  <c r="C24" i="58" s="1"/>
  <c r="C25" i="58" s="1"/>
  <c r="C27" i="58" s="1"/>
  <c r="C47" i="58" s="1"/>
  <c r="D37" i="129" l="1"/>
  <c r="C36" i="129"/>
  <c r="C37" i="129" s="1"/>
  <c r="C55" i="129"/>
  <c r="C50" i="129"/>
  <c r="C52" i="129"/>
  <c r="C51" i="129"/>
  <c r="C52" i="58"/>
  <c r="C50" i="58"/>
  <c r="C51" i="58"/>
  <c r="F29" i="58"/>
  <c r="F17" i="58"/>
  <c r="C48" i="129" l="1"/>
  <c r="C53" i="129" s="1"/>
  <c r="B48" i="129"/>
  <c r="B53" i="129" s="1"/>
  <c r="F36" i="65"/>
  <c r="F37" i="65"/>
  <c r="F13" i="65"/>
  <c r="F46" i="65"/>
  <c r="F40" i="65"/>
  <c r="F41" i="65" s="1"/>
  <c r="F22" i="65"/>
  <c r="F17" i="65"/>
  <c r="F29" i="65" l="1"/>
  <c r="F34" i="65" s="1"/>
  <c r="E32" i="57"/>
  <c r="F37" i="57"/>
  <c r="C48" i="57" s="1"/>
  <c r="C53" i="57" s="1"/>
  <c r="F46" i="57"/>
  <c r="G46" i="57"/>
  <c r="F21" i="57"/>
  <c r="F33" i="57" s="1"/>
  <c r="F17" i="57"/>
  <c r="F42" i="57"/>
  <c r="F41" i="57"/>
  <c r="F40" i="57"/>
  <c r="F29" i="57"/>
  <c r="F24" i="57"/>
  <c r="F27" i="57" s="1"/>
  <c r="F47" i="57" s="1"/>
  <c r="F13" i="57"/>
  <c r="E34" i="57" l="1"/>
  <c r="C32" i="57"/>
  <c r="C34" i="57" s="1"/>
  <c r="F55" i="57"/>
  <c r="F51" i="57"/>
  <c r="F34" i="57"/>
  <c r="F52" i="57"/>
  <c r="F50" i="57"/>
  <c r="D40" i="9" l="1"/>
  <c r="D39" i="9"/>
  <c r="D32" i="9"/>
  <c r="B32" i="9" s="1"/>
  <c r="H16" i="9"/>
  <c r="D37" i="9"/>
  <c r="D41" i="9"/>
  <c r="E39" i="9"/>
  <c r="D55" i="9"/>
  <c r="D22" i="9"/>
  <c r="D17" i="9"/>
  <c r="D13" i="9"/>
  <c r="D29" i="9" l="1"/>
  <c r="F31" i="3"/>
  <c r="E31" i="3" s="1"/>
  <c r="F30" i="3"/>
  <c r="E30" i="3" s="1"/>
  <c r="F16" i="3"/>
  <c r="F17" i="3" s="1"/>
  <c r="F41" i="3"/>
  <c r="E32" i="3"/>
  <c r="D32" i="3" s="1"/>
  <c r="F29" i="3"/>
  <c r="F33" i="3"/>
  <c r="F37" i="3"/>
  <c r="F24" i="3"/>
  <c r="F26" i="3" s="1"/>
  <c r="F27" i="3" s="1"/>
  <c r="F47" i="3" s="1"/>
  <c r="F50" i="3" s="1"/>
  <c r="F13" i="3"/>
  <c r="F51" i="3" l="1"/>
  <c r="F52" i="3"/>
  <c r="J21" i="13"/>
  <c r="I21" i="13"/>
  <c r="H21" i="13"/>
  <c r="G21" i="13"/>
  <c r="F21" i="13"/>
  <c r="F55" i="13"/>
  <c r="F46" i="13"/>
  <c r="F41" i="13"/>
  <c r="F32" i="13"/>
  <c r="J32" i="13"/>
  <c r="F37" i="13"/>
  <c r="C48" i="13" s="1"/>
  <c r="C53" i="13" s="1"/>
  <c r="F29" i="13"/>
  <c r="F17" i="13"/>
  <c r="F13" i="13"/>
  <c r="F42" i="63" l="1"/>
  <c r="F40" i="63"/>
  <c r="F39" i="63"/>
  <c r="G32" i="63"/>
  <c r="G35" i="63"/>
  <c r="I22" i="63"/>
  <c r="H22" i="63"/>
  <c r="G22" i="63"/>
  <c r="G29" i="63" s="1"/>
  <c r="F22" i="63"/>
  <c r="E27" i="63" s="1"/>
  <c r="E47" i="63" s="1"/>
  <c r="J36" i="63"/>
  <c r="F17" i="63"/>
  <c r="G12" i="63"/>
  <c r="E50" i="63" l="1"/>
  <c r="E51" i="63"/>
  <c r="E52" i="63"/>
  <c r="E55" i="63"/>
  <c r="F29" i="63"/>
  <c r="G17" i="63"/>
  <c r="G24" i="63"/>
  <c r="F41" i="63"/>
  <c r="G40" i="82"/>
  <c r="G41" i="82" s="1"/>
  <c r="F40" i="82"/>
  <c r="F41" i="82" s="1"/>
  <c r="F22" i="82"/>
  <c r="C24" i="82" s="1"/>
  <c r="C25" i="82" s="1"/>
  <c r="F17" i="82"/>
  <c r="F55" i="82"/>
  <c r="F47" i="82"/>
  <c r="F46" i="82"/>
  <c r="F13" i="82"/>
  <c r="F52" i="82" l="1"/>
  <c r="G25" i="63"/>
  <c r="G27" i="63" s="1"/>
  <c r="F29" i="82"/>
  <c r="F50" i="82"/>
  <c r="F51" i="82"/>
  <c r="F40" i="118"/>
  <c r="F41" i="118" s="1"/>
  <c r="F39" i="118"/>
  <c r="F46" i="118"/>
  <c r="G46" i="118"/>
  <c r="F22" i="118"/>
  <c r="F17" i="118"/>
  <c r="F13" i="118"/>
  <c r="F35" i="82" l="1"/>
  <c r="F37" i="82" s="1"/>
  <c r="C48" i="82" s="1"/>
  <c r="C53" i="82" s="1"/>
  <c r="J29" i="132"/>
  <c r="J35" i="132"/>
  <c r="I35" i="132" s="1"/>
  <c r="F35" i="132"/>
  <c r="E35" i="132" s="1"/>
  <c r="F37" i="132"/>
  <c r="F36" i="132"/>
  <c r="E36" i="132" s="1"/>
  <c r="D36" i="132" s="1"/>
  <c r="J36" i="132"/>
  <c r="I36" i="132" s="1"/>
  <c r="H36" i="132" s="1"/>
  <c r="F13" i="132"/>
  <c r="J22" i="132"/>
  <c r="J17" i="132"/>
  <c r="F22" i="132"/>
  <c r="F29" i="132" s="1"/>
  <c r="F17" i="132"/>
  <c r="F40" i="132"/>
  <c r="F39" i="132"/>
  <c r="F41" i="132" s="1"/>
  <c r="D35" i="132" l="1"/>
  <c r="D37" i="132" s="1"/>
  <c r="E37" i="132"/>
  <c r="H35" i="132"/>
  <c r="H37" i="132" s="1"/>
  <c r="I37" i="132"/>
  <c r="J37" i="132"/>
  <c r="G46" i="120"/>
  <c r="G40" i="120"/>
  <c r="G41" i="120" s="1"/>
  <c r="G27" i="120"/>
  <c r="G47" i="120" s="1"/>
  <c r="G32" i="120"/>
  <c r="G37" i="120"/>
  <c r="G22" i="120"/>
  <c r="G29" i="120" s="1"/>
  <c r="G17" i="120"/>
  <c r="F46" i="120"/>
  <c r="F40" i="120"/>
  <c r="F41" i="120" s="1"/>
  <c r="C32" i="120"/>
  <c r="F37" i="120"/>
  <c r="C48" i="120" s="1"/>
  <c r="C53" i="120" s="1"/>
  <c r="F22" i="120"/>
  <c r="F17" i="120"/>
  <c r="F13" i="120"/>
  <c r="G13" i="120"/>
  <c r="D24" i="120" l="1"/>
  <c r="C24" i="120"/>
  <c r="C25" i="120" s="1"/>
  <c r="C27" i="120" s="1"/>
  <c r="C47" i="120" s="1"/>
  <c r="D25" i="120"/>
  <c r="D27" i="120" s="1"/>
  <c r="D47" i="120" s="1"/>
  <c r="D48" i="120"/>
  <c r="D53" i="120" s="1"/>
  <c r="F29" i="120"/>
  <c r="D41" i="68"/>
  <c r="D40" i="68"/>
  <c r="D32" i="68"/>
  <c r="C32" i="68" s="1"/>
  <c r="B32" i="68" s="1"/>
  <c r="D30" i="68"/>
  <c r="C30" i="68" s="1"/>
  <c r="D16" i="68"/>
  <c r="D17" i="68"/>
  <c r="D21" i="68"/>
  <c r="D33" i="68" s="1"/>
  <c r="D34" i="68" s="1"/>
  <c r="D37" i="68"/>
  <c r="D29" i="68"/>
  <c r="D13" i="68"/>
  <c r="D55" i="68"/>
  <c r="C50" i="120" l="1"/>
  <c r="C55" i="120"/>
  <c r="C52" i="120"/>
  <c r="C51" i="120"/>
  <c r="D55" i="120"/>
  <c r="D52" i="120"/>
  <c r="D51" i="120"/>
  <c r="D50" i="120"/>
  <c r="B30" i="68"/>
  <c r="B34" i="68" s="1"/>
  <c r="C34" i="68"/>
  <c r="F39" i="26"/>
  <c r="F17" i="26"/>
  <c r="F31" i="26"/>
  <c r="E31" i="26" s="1"/>
  <c r="D31" i="26" s="1"/>
  <c r="F35" i="26"/>
  <c r="E35" i="26" s="1"/>
  <c r="F36" i="26"/>
  <c r="E36" i="26" s="1"/>
  <c r="D36" i="26" s="1"/>
  <c r="F37" i="26"/>
  <c r="F29" i="26"/>
  <c r="F13" i="26"/>
  <c r="F46" i="26"/>
  <c r="D35" i="26" l="1"/>
  <c r="D37" i="26" s="1"/>
  <c r="E37" i="26"/>
  <c r="E40" i="20"/>
  <c r="E41" i="20"/>
  <c r="E32" i="20"/>
  <c r="D32" i="20" s="1"/>
  <c r="C32" i="20" s="1"/>
  <c r="E37" i="20"/>
  <c r="E55" i="20"/>
  <c r="E22" i="20"/>
  <c r="E17" i="20"/>
  <c r="E13" i="20"/>
  <c r="E29" i="20" l="1"/>
  <c r="E42" i="80"/>
  <c r="E16" i="80"/>
  <c r="E17" i="80" s="1"/>
  <c r="E19" i="80"/>
  <c r="E40" i="80"/>
  <c r="E41" i="80" s="1"/>
  <c r="E37" i="80"/>
  <c r="E29" i="80"/>
  <c r="E13" i="80"/>
  <c r="E21" i="80" l="1"/>
  <c r="F22" i="134"/>
  <c r="F17" i="134"/>
  <c r="F13" i="134"/>
  <c r="F46" i="134"/>
  <c r="F29" i="134" l="1"/>
  <c r="F35" i="134" s="1"/>
  <c r="F37" i="134" s="1"/>
  <c r="G30" i="114"/>
  <c r="F30" i="114" s="1"/>
  <c r="E30" i="114" s="1"/>
  <c r="D30" i="114" s="1"/>
  <c r="G39" i="114"/>
  <c r="G31" i="114"/>
  <c r="F31" i="114" s="1"/>
  <c r="D31" i="114" s="1"/>
  <c r="G32" i="114"/>
  <c r="F32" i="114" s="1"/>
  <c r="E32" i="114" s="1"/>
  <c r="D32" i="114" s="1"/>
  <c r="G37" i="114"/>
  <c r="D48" i="114" s="1"/>
  <c r="D53" i="114" s="1"/>
  <c r="G13" i="114"/>
  <c r="G42" i="114"/>
  <c r="G22" i="114"/>
  <c r="G17" i="114"/>
  <c r="G29" i="114" l="1"/>
  <c r="D24" i="114"/>
  <c r="D25" i="114" s="1"/>
  <c r="C25" i="114" s="1"/>
  <c r="C26" i="114" s="1"/>
  <c r="C27" i="114" s="1"/>
  <c r="C47" i="114" s="1"/>
  <c r="F42" i="34"/>
  <c r="F41" i="34"/>
  <c r="F31" i="34"/>
  <c r="E31" i="34" s="1"/>
  <c r="D31" i="34" s="1"/>
  <c r="F30" i="34"/>
  <c r="E30" i="34" s="1"/>
  <c r="F32" i="34"/>
  <c r="E32" i="34" s="1"/>
  <c r="D32" i="34" s="1"/>
  <c r="F37" i="34"/>
  <c r="F22" i="34"/>
  <c r="F17" i="34"/>
  <c r="F13" i="34"/>
  <c r="C51" i="114" l="1"/>
  <c r="C50" i="114"/>
  <c r="C52" i="114"/>
  <c r="C55" i="114"/>
  <c r="D27" i="114"/>
  <c r="D47" i="114" s="1"/>
  <c r="D30" i="34"/>
  <c r="D34" i="34" s="1"/>
  <c r="E34" i="34"/>
  <c r="F29" i="34"/>
  <c r="F34" i="34" s="1"/>
  <c r="G42" i="136"/>
  <c r="G40" i="136"/>
  <c r="G41" i="136" s="1"/>
  <c r="K22" i="136"/>
  <c r="K29" i="136" s="1"/>
  <c r="K16" i="136"/>
  <c r="G22" i="136"/>
  <c r="D24" i="136" s="1"/>
  <c r="D25" i="136" s="1"/>
  <c r="D27" i="136" s="1"/>
  <c r="D47" i="136" s="1"/>
  <c r="G12" i="136"/>
  <c r="G13" i="136" s="1"/>
  <c r="K12" i="136"/>
  <c r="D46" i="136" l="1"/>
  <c r="C13" i="136"/>
  <c r="G17" i="136"/>
  <c r="D55" i="114"/>
  <c r="D52" i="114"/>
  <c r="D50" i="114"/>
  <c r="D51" i="114"/>
  <c r="D55" i="136"/>
  <c r="D50" i="136"/>
  <c r="D52" i="136"/>
  <c r="D51" i="136"/>
  <c r="K17" i="136"/>
  <c r="G29" i="136"/>
  <c r="G46" i="136"/>
  <c r="F46" i="136"/>
  <c r="E46" i="136"/>
  <c r="G46" i="126"/>
  <c r="G40" i="126"/>
  <c r="G41" i="126" s="1"/>
  <c r="G13" i="126"/>
  <c r="G35" i="126"/>
  <c r="G37" i="126" s="1"/>
  <c r="D48" i="126" s="1"/>
  <c r="D53" i="126" s="1"/>
  <c r="G29" i="126"/>
  <c r="G24" i="126"/>
  <c r="G25" i="126" s="1"/>
  <c r="G21" i="126"/>
  <c r="G33" i="126" s="1"/>
  <c r="G17" i="126"/>
  <c r="G34" i="126" l="1"/>
  <c r="G27" i="126"/>
  <c r="G47" i="126" s="1"/>
  <c r="G52" i="126" s="1"/>
  <c r="E32" i="97"/>
  <c r="D32" i="97" s="1"/>
  <c r="G46" i="97"/>
  <c r="G37" i="97"/>
  <c r="D48" i="97" s="1"/>
  <c r="D53" i="97" s="1"/>
  <c r="G13" i="97"/>
  <c r="G22" i="97"/>
  <c r="D24" i="97" s="1"/>
  <c r="G17" i="97"/>
  <c r="D25" i="97" l="1"/>
  <c r="D27" i="97" s="1"/>
  <c r="D47" i="97" s="1"/>
  <c r="G50" i="126"/>
  <c r="G55" i="126"/>
  <c r="G51" i="126"/>
  <c r="G29" i="97"/>
  <c r="F22" i="25"/>
  <c r="C24" i="25" s="1"/>
  <c r="C27" i="25" s="1"/>
  <c r="C47" i="25" s="1"/>
  <c r="F42" i="25"/>
  <c r="F41" i="25"/>
  <c r="F29" i="25"/>
  <c r="F24" i="25"/>
  <c r="F12" i="25"/>
  <c r="F46" i="25"/>
  <c r="D55" i="97" l="1"/>
  <c r="D51" i="97"/>
  <c r="D50" i="97"/>
  <c r="D52" i="97"/>
  <c r="F17" i="25"/>
  <c r="C46" i="25"/>
  <c r="C52" i="25"/>
  <c r="C55" i="25"/>
  <c r="C50" i="25"/>
  <c r="C51" i="25"/>
  <c r="D46" i="25"/>
  <c r="E46" i="25"/>
  <c r="D24" i="25"/>
  <c r="D27" i="25" s="1"/>
  <c r="D47" i="25" s="1"/>
  <c r="E24" i="25"/>
  <c r="E27" i="25" s="1"/>
  <c r="E47" i="25" s="1"/>
  <c r="F25" i="25"/>
  <c r="F27" i="25" s="1"/>
  <c r="F47" i="25" s="1"/>
  <c r="G50" i="138"/>
  <c r="G41" i="138"/>
  <c r="G55" i="138" s="1"/>
  <c r="G48" i="138"/>
  <c r="F48" i="138" s="1"/>
  <c r="E48" i="138" l="1"/>
  <c r="F53" i="138"/>
  <c r="E55" i="25"/>
  <c r="E51" i="25"/>
  <c r="E50" i="25"/>
  <c r="E52" i="25"/>
  <c r="D50" i="25"/>
  <c r="D55" i="25"/>
  <c r="D52" i="25"/>
  <c r="D51" i="25"/>
  <c r="F55" i="25"/>
  <c r="F52" i="25"/>
  <c r="F50" i="25"/>
  <c r="F51" i="25"/>
  <c r="G52" i="138"/>
  <c r="G53" i="138"/>
  <c r="G51" i="138"/>
  <c r="G35" i="27"/>
  <c r="G37" i="27" s="1"/>
  <c r="G36" i="27"/>
  <c r="G31" i="27"/>
  <c r="G30" i="27"/>
  <c r="G40" i="27"/>
  <c r="G13" i="27"/>
  <c r="G22" i="27"/>
  <c r="D24" i="27" s="1"/>
  <c r="D26" i="27" s="1"/>
  <c r="D27" i="27" s="1"/>
  <c r="D47" i="27" s="1"/>
  <c r="G17" i="27"/>
  <c r="G29" i="27"/>
  <c r="A29" i="27"/>
  <c r="D48" i="27" l="1"/>
  <c r="D53" i="27" s="1"/>
  <c r="D51" i="27"/>
  <c r="D52" i="27"/>
  <c r="D50" i="27"/>
  <c r="E53" i="138"/>
  <c r="D48" i="138"/>
  <c r="D53" i="138" s="1"/>
  <c r="E36" i="81"/>
  <c r="E35" i="81"/>
  <c r="E13" i="81"/>
  <c r="E22" i="81"/>
  <c r="E29" i="81" s="1"/>
  <c r="E17" i="81"/>
  <c r="E41" i="81"/>
  <c r="E55" i="81"/>
  <c r="E46" i="81"/>
  <c r="E37" i="81" l="1"/>
  <c r="B24" i="81"/>
  <c r="B25" i="81" s="1"/>
  <c r="B27" i="81" s="1"/>
  <c r="B47" i="81" s="1"/>
  <c r="B48" i="81"/>
  <c r="B53" i="81" s="1"/>
  <c r="B50" i="81" l="1"/>
  <c r="B52" i="81"/>
  <c r="B51" i="81"/>
  <c r="G40" i="116"/>
  <c r="G41" i="116" s="1"/>
  <c r="G37" i="116"/>
  <c r="G22" i="116"/>
  <c r="D24" i="116" s="1"/>
  <c r="G17" i="116"/>
  <c r="G13" i="116"/>
  <c r="D26" i="116" l="1"/>
  <c r="D27" i="116" s="1"/>
  <c r="D47" i="116" s="1"/>
  <c r="E48" i="116"/>
  <c r="E53" i="116" s="1"/>
  <c r="D48" i="116"/>
  <c r="D53" i="116" s="1"/>
  <c r="G29" i="116"/>
  <c r="G34" i="116" s="1"/>
  <c r="F44" i="45"/>
  <c r="F14" i="45"/>
  <c r="AA42" i="45"/>
  <c r="J16" i="45"/>
  <c r="F20" i="45"/>
  <c r="J20" i="45"/>
  <c r="J22" i="45"/>
  <c r="F29" i="45"/>
  <c r="F37" i="45"/>
  <c r="C48" i="45" s="1"/>
  <c r="C53" i="45" s="1"/>
  <c r="F13" i="45"/>
  <c r="D52" i="116" l="1"/>
  <c r="D50" i="116"/>
  <c r="D51" i="116"/>
  <c r="F33" i="45"/>
  <c r="F34" i="45" s="1"/>
  <c r="F17" i="45"/>
  <c r="G22" i="19"/>
  <c r="D24" i="19" s="1"/>
  <c r="G40" i="19"/>
  <c r="G39" i="19"/>
  <c r="G41" i="19" s="1"/>
  <c r="G17" i="19"/>
  <c r="G32" i="19"/>
  <c r="F32" i="19" s="1"/>
  <c r="E32" i="19" s="1"/>
  <c r="D32" i="19" s="1"/>
  <c r="G36" i="19"/>
  <c r="F36" i="19" s="1"/>
  <c r="G13" i="19"/>
  <c r="D25" i="19" l="1"/>
  <c r="D27" i="19"/>
  <c r="D47" i="19" s="1"/>
  <c r="E36" i="19"/>
  <c r="F37" i="19"/>
  <c r="G37" i="19"/>
  <c r="G29" i="19"/>
  <c r="F40" i="128"/>
  <c r="F41" i="128" s="1"/>
  <c r="G40" i="128"/>
  <c r="G41" i="128"/>
  <c r="G12" i="128"/>
  <c r="G17" i="128" s="1"/>
  <c r="G29" i="128"/>
  <c r="F37" i="128"/>
  <c r="F13" i="128"/>
  <c r="F32" i="128"/>
  <c r="D32" i="128" s="1"/>
  <c r="F22" i="128"/>
  <c r="F17" i="128"/>
  <c r="G22" i="128"/>
  <c r="E37" i="19" l="1"/>
  <c r="D36" i="19"/>
  <c r="D37" i="19" s="1"/>
  <c r="D50" i="19"/>
  <c r="D51" i="19"/>
  <c r="D55" i="19"/>
  <c r="D52" i="19"/>
  <c r="G13" i="128"/>
  <c r="D24" i="128"/>
  <c r="G46" i="128"/>
  <c r="F46" i="128"/>
  <c r="D46" i="128"/>
  <c r="E46" i="128"/>
  <c r="F29" i="128"/>
  <c r="G31" i="47"/>
  <c r="D48" i="19" l="1"/>
  <c r="D53" i="19" s="1"/>
  <c r="C48" i="19"/>
  <c r="C53" i="19" s="1"/>
  <c r="D25" i="128"/>
  <c r="D27" i="128" s="1"/>
  <c r="D47" i="128" s="1"/>
  <c r="K35" i="47"/>
  <c r="G37" i="47"/>
  <c r="G46" i="47"/>
  <c r="G41" i="47"/>
  <c r="G22" i="47"/>
  <c r="D24" i="47" s="1"/>
  <c r="G17" i="47"/>
  <c r="D51" i="128" l="1"/>
  <c r="D50" i="128"/>
  <c r="D55" i="128"/>
  <c r="D52" i="128"/>
  <c r="D48" i="47"/>
  <c r="D53" i="47" s="1"/>
  <c r="D26" i="47"/>
  <c r="D27" i="47" s="1"/>
  <c r="D47" i="47" s="1"/>
  <c r="G29" i="47"/>
  <c r="G31" i="111"/>
  <c r="D31" i="111" s="1"/>
  <c r="G32" i="111"/>
  <c r="D32" i="111" s="1"/>
  <c r="K32" i="111"/>
  <c r="G36" i="111"/>
  <c r="D36" i="111" s="1"/>
  <c r="D37" i="111" s="1"/>
  <c r="B48" i="111" s="1"/>
  <c r="B53" i="111" s="1"/>
  <c r="H40" i="111"/>
  <c r="G40" i="111"/>
  <c r="G41" i="111" s="1"/>
  <c r="G22" i="111"/>
  <c r="D24" i="111" s="1"/>
  <c r="G17" i="111"/>
  <c r="C48" i="111" l="1"/>
  <c r="C53" i="111" s="1"/>
  <c r="G37" i="111"/>
  <c r="D48" i="111" s="1"/>
  <c r="D53" i="111" s="1"/>
  <c r="D26" i="111"/>
  <c r="D27" i="111" s="1"/>
  <c r="D47" i="111" s="1"/>
  <c r="G29" i="111"/>
  <c r="D50" i="47"/>
  <c r="D52" i="47"/>
  <c r="D55" i="47"/>
  <c r="D51" i="47"/>
  <c r="F39" i="102"/>
  <c r="E39" i="102" s="1"/>
  <c r="F32" i="102"/>
  <c r="F33" i="102"/>
  <c r="F37" i="102"/>
  <c r="F22" i="102"/>
  <c r="F29" i="102" s="1"/>
  <c r="F17" i="102"/>
  <c r="F13" i="102"/>
  <c r="D55" i="111" l="1"/>
  <c r="D51" i="111"/>
  <c r="D50" i="111"/>
  <c r="D52" i="111"/>
  <c r="D39" i="102"/>
  <c r="G32" i="54"/>
  <c r="G37" i="54"/>
  <c r="D48" i="54" s="1"/>
  <c r="D53" i="54" s="1"/>
  <c r="G40" i="54"/>
  <c r="G41" i="54" s="1"/>
  <c r="G13" i="54"/>
  <c r="G22" i="54"/>
  <c r="D24" i="54" s="1"/>
  <c r="G17" i="54"/>
  <c r="G55" i="54"/>
  <c r="G46" i="54"/>
  <c r="D25" i="54" l="1"/>
  <c r="D27" i="54" s="1"/>
  <c r="D47" i="54" s="1"/>
  <c r="G29" i="54"/>
  <c r="G30" i="89"/>
  <c r="D30" i="89" s="1"/>
  <c r="G31" i="89"/>
  <c r="D31" i="89" s="1"/>
  <c r="G39" i="89"/>
  <c r="F39" i="89" s="1"/>
  <c r="G32" i="89"/>
  <c r="D32" i="89" s="1"/>
  <c r="G37" i="89"/>
  <c r="D48" i="89" s="1"/>
  <c r="G13" i="89"/>
  <c r="G22" i="89"/>
  <c r="D24" i="89" s="1"/>
  <c r="D25" i="89" s="1"/>
  <c r="D27" i="89" s="1"/>
  <c r="D47" i="89" s="1"/>
  <c r="G17" i="89"/>
  <c r="G29" i="89" l="1"/>
  <c r="D55" i="54"/>
  <c r="D52" i="54"/>
  <c r="D51" i="54"/>
  <c r="D50" i="54"/>
  <c r="E39" i="89"/>
  <c r="D39" i="89" s="1"/>
  <c r="D41" i="89" s="1"/>
  <c r="G32" i="113"/>
  <c r="G37" i="113"/>
  <c r="D48" i="113" s="1"/>
  <c r="D53" i="113" s="1"/>
  <c r="G41" i="113"/>
  <c r="G40" i="113"/>
  <c r="G13" i="113"/>
  <c r="G22" i="113"/>
  <c r="G17" i="113"/>
  <c r="D51" i="89" l="1"/>
  <c r="D52" i="89"/>
  <c r="D53" i="89"/>
  <c r="D50" i="89"/>
  <c r="D24" i="113"/>
  <c r="D25" i="113" s="1"/>
  <c r="D27" i="113" s="1"/>
  <c r="D47" i="113" s="1"/>
  <c r="G29" i="113"/>
  <c r="F40" i="73"/>
  <c r="F41" i="73" s="1"/>
  <c r="E32" i="73"/>
  <c r="F33" i="73"/>
  <c r="F37" i="73"/>
  <c r="C48" i="73" s="1"/>
  <c r="C53" i="73" s="1"/>
  <c r="F14" i="73"/>
  <c r="G26" i="73"/>
  <c r="F17" i="73"/>
  <c r="F13" i="73"/>
  <c r="D51" i="113" l="1"/>
  <c r="D52" i="113"/>
  <c r="D55" i="113"/>
  <c r="D50" i="113"/>
  <c r="C24" i="73"/>
  <c r="F29" i="73"/>
  <c r="E32" i="76"/>
  <c r="D32" i="76" s="1"/>
  <c r="K32" i="76"/>
  <c r="J32" i="76" s="1"/>
  <c r="I32" i="76" s="1"/>
  <c r="H32" i="76" s="1"/>
  <c r="G37" i="76"/>
  <c r="D48" i="76" s="1"/>
  <c r="D53" i="76" s="1"/>
  <c r="G25" i="76"/>
  <c r="G13" i="76"/>
  <c r="G22" i="76"/>
  <c r="G29" i="76" s="1"/>
  <c r="G17" i="76"/>
  <c r="G27" i="76"/>
  <c r="G47" i="76" s="1"/>
  <c r="G50" i="76" s="1"/>
  <c r="G41" i="76"/>
  <c r="C26" i="73" l="1"/>
  <c r="C27" i="73"/>
  <c r="C47" i="73" s="1"/>
  <c r="G52" i="76"/>
  <c r="G51" i="76"/>
  <c r="D30" i="122"/>
  <c r="C30" i="122" s="1"/>
  <c r="B30" i="122" s="1"/>
  <c r="H30" i="122"/>
  <c r="G30" i="122" s="1"/>
  <c r="F30" i="122" s="1"/>
  <c r="D31" i="122"/>
  <c r="C31" i="122" s="1"/>
  <c r="B31" i="122" s="1"/>
  <c r="H31" i="122"/>
  <c r="G31" i="122" s="1"/>
  <c r="F31" i="122" s="1"/>
  <c r="D42" i="122"/>
  <c r="D41" i="122"/>
  <c r="D22" i="122"/>
  <c r="D17" i="122"/>
  <c r="H32" i="122"/>
  <c r="G32" i="122" s="1"/>
  <c r="F32" i="122" s="1"/>
  <c r="D32" i="122"/>
  <c r="C32" i="122" s="1"/>
  <c r="B32" i="122" s="1"/>
  <c r="D37" i="122"/>
  <c r="D13" i="122"/>
  <c r="C50" i="73" l="1"/>
  <c r="C55" i="73"/>
  <c r="C52" i="73"/>
  <c r="C51" i="73"/>
  <c r="D29" i="122"/>
  <c r="G30" i="28"/>
  <c r="F30" i="28" s="1"/>
  <c r="E30" i="28" s="1"/>
  <c r="D30" i="28" s="1"/>
  <c r="K30" i="28"/>
  <c r="J30" i="28" s="1"/>
  <c r="I30" i="28" s="1"/>
  <c r="E32" i="28"/>
  <c r="D32" i="28" s="1"/>
  <c r="G37" i="28"/>
  <c r="D48" i="28" s="1"/>
  <c r="D53" i="28" s="1"/>
  <c r="G42" i="28"/>
  <c r="G40" i="28"/>
  <c r="G41" i="28" s="1"/>
  <c r="G13" i="28"/>
  <c r="G22" i="28"/>
  <c r="D24" i="28" s="1"/>
  <c r="D26" i="28" s="1"/>
  <c r="G17" i="28"/>
  <c r="D27" i="28" l="1"/>
  <c r="D47" i="28" s="1"/>
  <c r="G29" i="28"/>
  <c r="G42" i="48"/>
  <c r="G26" i="48"/>
  <c r="G41" i="48"/>
  <c r="G31" i="48"/>
  <c r="F31" i="48" s="1"/>
  <c r="E31" i="48" s="1"/>
  <c r="K31" i="48"/>
  <c r="J31" i="48" s="1"/>
  <c r="I31" i="48" s="1"/>
  <c r="G22" i="48"/>
  <c r="G17" i="48"/>
  <c r="G32" i="48"/>
  <c r="F32" i="48" s="1"/>
  <c r="E32" i="48" s="1"/>
  <c r="K32" i="48"/>
  <c r="G37" i="48"/>
  <c r="G46" i="48"/>
  <c r="D24" i="48" l="1"/>
  <c r="C27" i="48" s="1"/>
  <c r="C47" i="48" s="1"/>
  <c r="D27" i="48"/>
  <c r="D47" i="48" s="1"/>
  <c r="D51" i="28"/>
  <c r="D50" i="28"/>
  <c r="D52" i="28"/>
  <c r="D55" i="28"/>
  <c r="E36" i="48"/>
  <c r="G29" i="48"/>
  <c r="E32" i="15"/>
  <c r="D32" i="15" s="1"/>
  <c r="E36" i="15"/>
  <c r="D36" i="15" s="1"/>
  <c r="G39" i="15"/>
  <c r="G40" i="15" s="1"/>
  <c r="G22" i="15"/>
  <c r="G17" i="15"/>
  <c r="G13" i="15"/>
  <c r="C55" i="48" l="1"/>
  <c r="C52" i="48"/>
  <c r="C50" i="48"/>
  <c r="C51" i="48"/>
  <c r="E37" i="48"/>
  <c r="D36" i="48"/>
  <c r="D37" i="48" s="1"/>
  <c r="B48" i="48" s="1"/>
  <c r="B53" i="48" s="1"/>
  <c r="D50" i="48"/>
  <c r="D52" i="48"/>
  <c r="D55" i="48"/>
  <c r="D51" i="48"/>
  <c r="G29" i="15"/>
  <c r="D24" i="15"/>
  <c r="D27" i="15" s="1"/>
  <c r="D47" i="15" s="1"/>
  <c r="G37" i="15"/>
  <c r="K16" i="102"/>
  <c r="K22" i="102" s="1"/>
  <c r="K29" i="102" s="1"/>
  <c r="G40" i="102"/>
  <c r="G31" i="102"/>
  <c r="G30" i="102"/>
  <c r="G33" i="102"/>
  <c r="G36" i="102"/>
  <c r="G37" i="102" s="1"/>
  <c r="G35" i="102"/>
  <c r="K35" i="102"/>
  <c r="G12" i="102"/>
  <c r="D48" i="48" l="1"/>
  <c r="D53" i="48" s="1"/>
  <c r="C48" i="48"/>
  <c r="C53" i="48" s="1"/>
  <c r="D50" i="15"/>
  <c r="D55" i="15"/>
  <c r="D51" i="15"/>
  <c r="D52" i="15"/>
  <c r="G41" i="102"/>
  <c r="F40" i="102"/>
  <c r="E35" i="15"/>
  <c r="F37" i="15"/>
  <c r="G17" i="102"/>
  <c r="G22" i="102"/>
  <c r="G42" i="95"/>
  <c r="G40" i="95"/>
  <c r="G41" i="95"/>
  <c r="G37" i="95"/>
  <c r="D48" i="95" s="1"/>
  <c r="D53" i="95" s="1"/>
  <c r="G13" i="95"/>
  <c r="G22" i="95"/>
  <c r="D24" i="95" s="1"/>
  <c r="D27" i="95" s="1"/>
  <c r="D47" i="95" s="1"/>
  <c r="G17" i="95"/>
  <c r="D55" i="95" l="1"/>
  <c r="D50" i="95"/>
  <c r="D51" i="95"/>
  <c r="D52" i="95"/>
  <c r="C24" i="102"/>
  <c r="C25" i="102" s="1"/>
  <c r="C26" i="102"/>
  <c r="C27" i="102" s="1"/>
  <c r="C47" i="102" s="1"/>
  <c r="G29" i="102"/>
  <c r="E37" i="15"/>
  <c r="D35" i="15"/>
  <c r="D37" i="15" s="1"/>
  <c r="E40" i="102"/>
  <c r="F41" i="102"/>
  <c r="G29" i="95"/>
  <c r="E40" i="42"/>
  <c r="E41" i="42" s="1"/>
  <c r="E42" i="42"/>
  <c r="E16" i="42"/>
  <c r="E31" i="42"/>
  <c r="D31" i="42" s="1"/>
  <c r="C31" i="42" s="1"/>
  <c r="E30" i="42"/>
  <c r="D30" i="42" s="1"/>
  <c r="C30" i="42" s="1"/>
  <c r="E35" i="42"/>
  <c r="D35" i="42" s="1"/>
  <c r="E13" i="42"/>
  <c r="B48" i="15" l="1"/>
  <c r="B53" i="15" s="1"/>
  <c r="C48" i="15"/>
  <c r="C53" i="15" s="1"/>
  <c r="C50" i="102"/>
  <c r="C55" i="102"/>
  <c r="C52" i="102"/>
  <c r="C51" i="102"/>
  <c r="D48" i="15"/>
  <c r="D53" i="15" s="1"/>
  <c r="D40" i="102"/>
  <c r="D41" i="102" s="1"/>
  <c r="E41" i="102"/>
  <c r="E17" i="42"/>
  <c r="C35" i="42"/>
  <c r="E22" i="42"/>
  <c r="E29" i="42"/>
  <c r="G31" i="103"/>
  <c r="D31" i="103" s="1"/>
  <c r="G30" i="103"/>
  <c r="D30" i="103" s="1"/>
  <c r="G40" i="103"/>
  <c r="G41" i="103" s="1"/>
  <c r="G37" i="103"/>
  <c r="D48" i="103" s="1"/>
  <c r="D53" i="103" s="1"/>
  <c r="G22" i="103"/>
  <c r="D24" i="103" s="1"/>
  <c r="G17" i="103"/>
  <c r="G13" i="103"/>
  <c r="G55" i="103"/>
  <c r="D25" i="103" l="1"/>
  <c r="D27" i="103"/>
  <c r="D47" i="103" s="1"/>
  <c r="G29" i="103"/>
  <c r="E13" i="96"/>
  <c r="E32" i="96"/>
  <c r="E37" i="96"/>
  <c r="E22" i="96"/>
  <c r="E17" i="96"/>
  <c r="F13" i="96"/>
  <c r="D52" i="103" l="1"/>
  <c r="D50" i="103"/>
  <c r="D51" i="103"/>
  <c r="E29" i="96"/>
  <c r="E34" i="96" s="1"/>
  <c r="G32" i="98"/>
  <c r="F32" i="98" s="1"/>
  <c r="E32" i="98" s="1"/>
  <c r="D32" i="98" s="1"/>
  <c r="G37" i="98"/>
  <c r="D48" i="98" s="1"/>
  <c r="D53" i="98" s="1"/>
  <c r="G22" i="98"/>
  <c r="G17" i="98"/>
  <c r="K16" i="98"/>
  <c r="G13" i="98"/>
  <c r="D24" i="98" l="1"/>
  <c r="G29" i="98"/>
  <c r="G39" i="83"/>
  <c r="F31" i="83"/>
  <c r="E31" i="83" s="1"/>
  <c r="D31" i="83" s="1"/>
  <c r="G32" i="83"/>
  <c r="F32" i="83" s="1"/>
  <c r="E32" i="83" s="1"/>
  <c r="D32" i="83" s="1"/>
  <c r="G37" i="83"/>
  <c r="D48" i="83" s="1"/>
  <c r="D53" i="83" s="1"/>
  <c r="G22" i="83"/>
  <c r="D24" i="83" s="1"/>
  <c r="D27" i="83" s="1"/>
  <c r="D47" i="83" s="1"/>
  <c r="G17" i="83"/>
  <c r="G13" i="83"/>
  <c r="D55" i="83" l="1"/>
  <c r="D52" i="83"/>
  <c r="D50" i="83"/>
  <c r="D51" i="83"/>
  <c r="D25" i="98"/>
  <c r="D27" i="98" s="1"/>
  <c r="D47" i="98" s="1"/>
  <c r="G29" i="83"/>
  <c r="G32" i="123"/>
  <c r="F32" i="123" s="1"/>
  <c r="E32" i="123" s="1"/>
  <c r="D32" i="123" s="1"/>
  <c r="G37" i="123"/>
  <c r="D48" i="123" s="1"/>
  <c r="D53" i="123" s="1"/>
  <c r="G22" i="123"/>
  <c r="D24" i="123" s="1"/>
  <c r="G17" i="123"/>
  <c r="G13" i="123"/>
  <c r="D25" i="123" l="1"/>
  <c r="D27" i="123" s="1"/>
  <c r="D47" i="123" s="1"/>
  <c r="D52" i="98"/>
  <c r="D51" i="98"/>
  <c r="D50" i="98"/>
  <c r="D55" i="98"/>
  <c r="G29" i="123"/>
  <c r="C42" i="125"/>
  <c r="C40" i="125"/>
  <c r="C41" i="125"/>
  <c r="C32" i="125"/>
  <c r="B32" i="125" s="1"/>
  <c r="C33" i="125"/>
  <c r="C36" i="125"/>
  <c r="C16" i="125"/>
  <c r="C22" i="125" s="1"/>
  <c r="C13" i="125"/>
  <c r="D50" i="123" l="1"/>
  <c r="D55" i="123"/>
  <c r="D51" i="123"/>
  <c r="D52" i="123"/>
  <c r="C37" i="125"/>
  <c r="B36" i="125"/>
  <c r="B37" i="125" s="1"/>
  <c r="C29" i="125"/>
  <c r="C17" i="125"/>
  <c r="L16" i="114"/>
  <c r="H42" i="114"/>
  <c r="H40" i="114"/>
  <c r="H31" i="114"/>
  <c r="H35" i="114"/>
  <c r="H36" i="114"/>
  <c r="H12" i="114"/>
  <c r="D13" i="114" s="1"/>
  <c r="H37" i="114" l="1"/>
  <c r="E48" i="114" s="1"/>
  <c r="E41" i="114"/>
  <c r="F40" i="114"/>
  <c r="F41" i="114" s="1"/>
  <c r="G40" i="114"/>
  <c r="G41" i="114" s="1"/>
  <c r="H46" i="114"/>
  <c r="E46" i="114"/>
  <c r="F46" i="114"/>
  <c r="G46" i="114"/>
  <c r="H41" i="114"/>
  <c r="I40" i="97"/>
  <c r="H39" i="97"/>
  <c r="H40" i="97" s="1"/>
  <c r="H22" i="97"/>
  <c r="H17" i="97"/>
  <c r="H13" i="97"/>
  <c r="H46" i="97"/>
  <c r="E53" i="114" l="1"/>
  <c r="E24" i="97"/>
  <c r="E25" i="97" s="1"/>
  <c r="E27" i="97" s="1"/>
  <c r="E47" i="97" s="1"/>
  <c r="H41" i="97"/>
  <c r="H29" i="97"/>
  <c r="H41" i="111"/>
  <c r="L32" i="111"/>
  <c r="L36" i="111"/>
  <c r="H22" i="111"/>
  <c r="H29" i="111" l="1"/>
  <c r="E24" i="111"/>
  <c r="H40" i="89"/>
  <c r="H35" i="89"/>
  <c r="H36" i="89"/>
  <c r="H12" i="89"/>
  <c r="D13" i="89" s="1"/>
  <c r="H22" i="89"/>
  <c r="H17" i="89" l="1"/>
  <c r="E46" i="89"/>
  <c r="F46" i="89"/>
  <c r="G46" i="89"/>
  <c r="E26" i="111"/>
  <c r="E27" i="111" s="1"/>
  <c r="E47" i="111" s="1"/>
  <c r="H29" i="89"/>
  <c r="E24" i="89"/>
  <c r="E25" i="89" s="1"/>
  <c r="E27" i="89" s="1"/>
  <c r="E47" i="89" s="1"/>
  <c r="H41" i="89"/>
  <c r="G40" i="89"/>
  <c r="H37" i="89"/>
  <c r="H46" i="89"/>
  <c r="G40" i="96"/>
  <c r="F40" i="96"/>
  <c r="E40" i="96" s="1"/>
  <c r="F37" i="96"/>
  <c r="F22" i="96"/>
  <c r="F17" i="96"/>
  <c r="E50" i="111" l="1"/>
  <c r="E55" i="111"/>
  <c r="E52" i="111"/>
  <c r="E51" i="111"/>
  <c r="F29" i="96"/>
  <c r="F34" i="96" s="1"/>
  <c r="C24" i="96"/>
  <c r="C48" i="96"/>
  <c r="F40" i="89"/>
  <c r="G41" i="89"/>
  <c r="E48" i="89"/>
  <c r="E41" i="96"/>
  <c r="D40" i="96"/>
  <c r="K30" i="131"/>
  <c r="G30" i="131"/>
  <c r="G13" i="131"/>
  <c r="G24" i="131"/>
  <c r="G29" i="131"/>
  <c r="G40" i="131"/>
  <c r="G41" i="131" s="1"/>
  <c r="G35" i="131"/>
  <c r="G37" i="131" s="1"/>
  <c r="G36" i="131"/>
  <c r="G46" i="131"/>
  <c r="C53" i="96" l="1"/>
  <c r="E40" i="89"/>
  <c r="F41" i="89"/>
  <c r="C40" i="96"/>
  <c r="C41" i="96" s="1"/>
  <c r="D41" i="96"/>
  <c r="D48" i="131"/>
  <c r="D53" i="131" s="1"/>
  <c r="G26" i="131"/>
  <c r="G27" i="131" s="1"/>
  <c r="G47" i="131" s="1"/>
  <c r="K12" i="135"/>
  <c r="G40" i="135"/>
  <c r="G41" i="135" s="1"/>
  <c r="G48" i="135"/>
  <c r="G27" i="135" l="1"/>
  <c r="G47" i="135" s="1"/>
  <c r="E41" i="89"/>
  <c r="E50" i="89"/>
  <c r="G13" i="135"/>
  <c r="G52" i="135"/>
  <c r="G50" i="131"/>
  <c r="G52" i="131"/>
  <c r="G55" i="131"/>
  <c r="G51" i="131"/>
  <c r="G53" i="135"/>
  <c r="G50" i="135"/>
  <c r="G55" i="135"/>
  <c r="G51" i="135"/>
  <c r="G21" i="57"/>
  <c r="G33" i="57" s="1"/>
  <c r="G40" i="57"/>
  <c r="G41" i="57"/>
  <c r="G42" i="57"/>
  <c r="G29" i="57"/>
  <c r="G24" i="57"/>
  <c r="G27" i="57" s="1"/>
  <c r="G47" i="57" s="1"/>
  <c r="G17" i="57"/>
  <c r="G13" i="57"/>
  <c r="E51" i="89" l="1"/>
  <c r="E52" i="89"/>
  <c r="E53" i="89"/>
  <c r="F27" i="135"/>
  <c r="F47" i="135" s="1"/>
  <c r="G55" i="57"/>
  <c r="G50" i="57"/>
  <c r="G51" i="57"/>
  <c r="G52" i="57"/>
  <c r="H53" i="137"/>
  <c r="H27" i="137"/>
  <c r="H47" i="137" s="1"/>
  <c r="F55" i="135" l="1"/>
  <c r="F51" i="135"/>
  <c r="F52" i="135"/>
  <c r="F50" i="135"/>
  <c r="E27" i="135"/>
  <c r="E47" i="135" s="1"/>
  <c r="D27" i="135"/>
  <c r="D47" i="135" s="1"/>
  <c r="H50" i="137"/>
  <c r="H55" i="137"/>
  <c r="H51" i="137"/>
  <c r="H52" i="137"/>
  <c r="H40" i="98"/>
  <c r="G40" i="98" s="1"/>
  <c r="H14" i="98"/>
  <c r="H22" i="98"/>
  <c r="E24" i="98" s="1"/>
  <c r="E27" i="98" s="1"/>
  <c r="E47" i="98" s="1"/>
  <c r="H17" i="98"/>
  <c r="H13" i="98"/>
  <c r="D51" i="135" l="1"/>
  <c r="D52" i="135"/>
  <c r="D55" i="135"/>
  <c r="D50" i="135"/>
  <c r="E50" i="135"/>
  <c r="E55" i="135"/>
  <c r="E51" i="135"/>
  <c r="E52" i="135"/>
  <c r="E55" i="98"/>
  <c r="E50" i="98"/>
  <c r="E51" i="98"/>
  <c r="E52" i="98"/>
  <c r="G41" i="98"/>
  <c r="H29" i="98"/>
  <c r="H41" i="98"/>
  <c r="G55" i="72"/>
  <c r="G46" i="72"/>
  <c r="G41" i="72"/>
  <c r="G22" i="72"/>
  <c r="G17" i="72"/>
  <c r="G13" i="72"/>
  <c r="G29" i="72" l="1"/>
  <c r="G35" i="72" s="1"/>
  <c r="G37" i="72" s="1"/>
  <c r="D48" i="72" s="1"/>
  <c r="D53" i="72" s="1"/>
  <c r="L32" i="54"/>
  <c r="H55" i="54"/>
  <c r="H46" i="54"/>
  <c r="H40" i="54"/>
  <c r="H41" i="54" s="1"/>
  <c r="H32" i="54"/>
  <c r="H37" i="54"/>
  <c r="H22" i="54"/>
  <c r="E24" i="54" s="1"/>
  <c r="E25" i="54" s="1"/>
  <c r="E27" i="54" s="1"/>
  <c r="E47" i="54" s="1"/>
  <c r="H17" i="54"/>
  <c r="L12" i="54"/>
  <c r="H13" i="54" s="1"/>
  <c r="E52" i="54" l="1"/>
  <c r="E51" i="54"/>
  <c r="E50" i="54"/>
  <c r="E48" i="54"/>
  <c r="E53" i="54" s="1"/>
  <c r="H29" i="54"/>
  <c r="H26" i="28"/>
  <c r="H22" i="28"/>
  <c r="E24" i="28" s="1"/>
  <c r="L31" i="28"/>
  <c r="H31" i="28"/>
  <c r="H30" i="28"/>
  <c r="L12" i="28"/>
  <c r="H12" i="28"/>
  <c r="D13" i="28" s="1"/>
  <c r="H42" i="28"/>
  <c r="H40" i="28"/>
  <c r="H41" i="28" s="1"/>
  <c r="H46" i="28" l="1"/>
  <c r="G46" i="28"/>
  <c r="E46" i="28"/>
  <c r="F46" i="28"/>
  <c r="E25" i="28"/>
  <c r="E27" i="28" s="1"/>
  <c r="E47" i="28" s="1"/>
  <c r="H13" i="28"/>
  <c r="H17" i="28"/>
  <c r="H29" i="28"/>
  <c r="G12" i="129"/>
  <c r="G40" i="129"/>
  <c r="E52" i="28" l="1"/>
  <c r="E51" i="28"/>
  <c r="E50" i="28"/>
  <c r="E55" i="28"/>
  <c r="G46" i="129"/>
  <c r="D46" i="129"/>
  <c r="E46" i="129"/>
  <c r="F46" i="129"/>
  <c r="G41" i="129"/>
  <c r="G40" i="130"/>
  <c r="G22" i="130"/>
  <c r="G17" i="130"/>
  <c r="G46" i="130"/>
  <c r="G13" i="130"/>
  <c r="G41" i="130"/>
  <c r="G29" i="130" l="1"/>
  <c r="D24" i="130"/>
  <c r="D26" i="130" s="1"/>
  <c r="D27" i="130" s="1"/>
  <c r="D47" i="130" s="1"/>
  <c r="L16" i="19"/>
  <c r="H16" i="19"/>
  <c r="H40" i="19"/>
  <c r="H12" i="19"/>
  <c r="D13" i="19" s="1"/>
  <c r="H41" i="19"/>
  <c r="H46" i="19" l="1"/>
  <c r="E46" i="19"/>
  <c r="F46" i="19"/>
  <c r="G46" i="19"/>
  <c r="D50" i="130"/>
  <c r="D52" i="130"/>
  <c r="D51" i="130"/>
  <c r="H17" i="19"/>
  <c r="H13" i="19"/>
  <c r="H22" i="19"/>
  <c r="H37" i="113"/>
  <c r="H32" i="113"/>
  <c r="H12" i="113"/>
  <c r="D13" i="113" s="1"/>
  <c r="H22" i="113"/>
  <c r="E24" i="113" s="1"/>
  <c r="H40" i="113"/>
  <c r="H41" i="113" s="1"/>
  <c r="E25" i="113" l="1"/>
  <c r="E27" i="113"/>
  <c r="E47" i="113" s="1"/>
  <c r="E48" i="113"/>
  <c r="E53" i="113" s="1"/>
  <c r="E24" i="19"/>
  <c r="H46" i="113"/>
  <c r="E46" i="113"/>
  <c r="F46" i="113"/>
  <c r="G46" i="113"/>
  <c r="H13" i="113"/>
  <c r="H29" i="19"/>
  <c r="H29" i="113"/>
  <c r="H17" i="113"/>
  <c r="G40" i="65"/>
  <c r="G41" i="65" s="1"/>
  <c r="E25" i="19" l="1"/>
  <c r="E27" i="19" s="1"/>
  <c r="E47" i="19" s="1"/>
  <c r="E50" i="113"/>
  <c r="E51" i="113"/>
  <c r="E55" i="113"/>
  <c r="E52" i="113"/>
  <c r="G22" i="65"/>
  <c r="G17" i="65"/>
  <c r="G37" i="65"/>
  <c r="G13" i="65"/>
  <c r="G46" i="65"/>
  <c r="E55" i="19" l="1"/>
  <c r="E50" i="19"/>
  <c r="E52" i="19"/>
  <c r="E51" i="19"/>
  <c r="D24" i="65"/>
  <c r="D48" i="65"/>
  <c r="D53" i="65" s="1"/>
  <c r="G29" i="65"/>
  <c r="G34" i="65" s="1"/>
  <c r="G40" i="58"/>
  <c r="G41" i="58" s="1"/>
  <c r="G55" i="58"/>
  <c r="G22" i="58"/>
  <c r="G12" i="58"/>
  <c r="D25" i="65" l="1"/>
  <c r="D27" i="65" s="1"/>
  <c r="D47" i="65" s="1"/>
  <c r="G29" i="58"/>
  <c r="D24" i="58"/>
  <c r="G17" i="58"/>
  <c r="E35" i="9"/>
  <c r="E36" i="9"/>
  <c r="E40" i="9"/>
  <c r="E31" i="9"/>
  <c r="E30" i="9"/>
  <c r="E46" i="9"/>
  <c r="E41" i="9"/>
  <c r="E55" i="9"/>
  <c r="E22" i="9"/>
  <c r="E17" i="9"/>
  <c r="E13" i="9"/>
  <c r="D55" i="65" l="1"/>
  <c r="D50" i="65"/>
  <c r="D51" i="65"/>
  <c r="D52" i="65"/>
  <c r="E29" i="9"/>
  <c r="B24" i="9"/>
  <c r="D25" i="58"/>
  <c r="D27" i="58" s="1"/>
  <c r="D47" i="58" s="1"/>
  <c r="E37" i="9"/>
  <c r="H25" i="76"/>
  <c r="H27" i="76" s="1"/>
  <c r="H47" i="76" s="1"/>
  <c r="H13" i="76"/>
  <c r="H22" i="76"/>
  <c r="H17" i="76"/>
  <c r="H29" i="76" l="1"/>
  <c r="D50" i="58"/>
  <c r="D52" i="58"/>
  <c r="D51" i="58"/>
  <c r="B27" i="9"/>
  <c r="B47" i="9" s="1"/>
  <c r="B25" i="9"/>
  <c r="B48" i="9"/>
  <c r="B53" i="9" s="1"/>
  <c r="G55" i="13"/>
  <c r="G46" i="13"/>
  <c r="G41" i="13"/>
  <c r="G37" i="13"/>
  <c r="G17" i="13"/>
  <c r="B51" i="9" l="1"/>
  <c r="B50" i="9"/>
  <c r="B52" i="9"/>
  <c r="D48" i="13"/>
  <c r="D53" i="13" s="1"/>
  <c r="G29" i="13"/>
  <c r="G13" i="13"/>
  <c r="G16" i="3" l="1"/>
  <c r="G24" i="3"/>
  <c r="G41" i="3"/>
  <c r="G29" i="3"/>
  <c r="G33" i="3"/>
  <c r="G12" i="3"/>
  <c r="E46" i="3" l="1"/>
  <c r="F46" i="3"/>
  <c r="G17" i="3"/>
  <c r="G46" i="3"/>
  <c r="G40" i="45"/>
  <c r="AD18" i="45"/>
  <c r="D46" i="45"/>
  <c r="F46" i="45" l="1"/>
  <c r="E46" i="45"/>
  <c r="G46" i="45"/>
  <c r="L12" i="116"/>
  <c r="L16" i="116"/>
  <c r="I46" i="116" l="1"/>
  <c r="J46" i="116"/>
  <c r="H40" i="116"/>
  <c r="H41" i="116" s="1"/>
  <c r="H22" i="116"/>
  <c r="H17" i="116"/>
  <c r="H13" i="116"/>
  <c r="E24" i="116" l="1"/>
  <c r="E26" i="116" s="1"/>
  <c r="E27" i="116" s="1"/>
  <c r="E47" i="116" s="1"/>
  <c r="H29" i="116"/>
  <c r="G41" i="133"/>
  <c r="G52" i="133" s="1"/>
  <c r="G50" i="133"/>
  <c r="E51" i="116" l="1"/>
  <c r="E52" i="116"/>
  <c r="E50" i="116"/>
  <c r="G53" i="133"/>
  <c r="G55" i="133"/>
  <c r="G51" i="133"/>
  <c r="H35" i="103"/>
  <c r="H37" i="103" s="1"/>
  <c r="H36" i="103"/>
  <c r="H40" i="103"/>
  <c r="H41" i="103"/>
  <c r="H22" i="103"/>
  <c r="H17" i="103"/>
  <c r="H13" i="103"/>
  <c r="H55" i="103"/>
  <c r="E48" i="103" l="1"/>
  <c r="E53" i="103" s="1"/>
  <c r="H29" i="103"/>
  <c r="E24" i="103"/>
  <c r="G47" i="63"/>
  <c r="F47" i="63" s="1"/>
  <c r="G42" i="63"/>
  <c r="G40" i="63"/>
  <c r="G41" i="63" s="1"/>
  <c r="G53" i="63" s="1"/>
  <c r="G39" i="63"/>
  <c r="E25" i="103" l="1"/>
  <c r="E27" i="103" s="1"/>
  <c r="E47" i="103" s="1"/>
  <c r="F50" i="63"/>
  <c r="F55" i="63"/>
  <c r="F52" i="63"/>
  <c r="F51" i="63"/>
  <c r="G55" i="63"/>
  <c r="G50" i="63"/>
  <c r="G51" i="63"/>
  <c r="G52" i="63"/>
  <c r="G44" i="120"/>
  <c r="G42" i="120"/>
  <c r="E50" i="103" l="1"/>
  <c r="E51" i="103"/>
  <c r="E52" i="103"/>
  <c r="G51" i="120"/>
  <c r="G55" i="120"/>
  <c r="G52" i="120"/>
  <c r="G50" i="120"/>
  <c r="G22" i="82"/>
  <c r="G17" i="82"/>
  <c r="G55" i="82"/>
  <c r="G47" i="82"/>
  <c r="G46" i="82"/>
  <c r="G29" i="82" l="1"/>
  <c r="G35" i="82" s="1"/>
  <c r="G37" i="82" s="1"/>
  <c r="D48" i="82" s="1"/>
  <c r="D53" i="82" s="1"/>
  <c r="D24" i="82"/>
  <c r="D25" i="82" s="1"/>
  <c r="G52" i="82"/>
  <c r="G50" i="82"/>
  <c r="G51" i="82"/>
  <c r="K31" i="132"/>
  <c r="J31" i="132" s="1"/>
  <c r="I31" i="132" s="1"/>
  <c r="H31" i="132" s="1"/>
  <c r="G31" i="132"/>
  <c r="F31" i="132" s="1"/>
  <c r="E31" i="132" s="1"/>
  <c r="D31" i="132" s="1"/>
  <c r="K32" i="132"/>
  <c r="J32" i="132" s="1"/>
  <c r="I32" i="132" s="1"/>
  <c r="H32" i="132" s="1"/>
  <c r="G32" i="132"/>
  <c r="F32" i="132" s="1"/>
  <c r="E32" i="132" s="1"/>
  <c r="D32" i="132" s="1"/>
  <c r="K37" i="132"/>
  <c r="G37" i="132"/>
  <c r="G13" i="132"/>
  <c r="K22" i="132"/>
  <c r="K29" i="132" s="1"/>
  <c r="K17" i="132"/>
  <c r="G22" i="132"/>
  <c r="G29" i="132" s="1"/>
  <c r="G17" i="132"/>
  <c r="G40" i="132"/>
  <c r="G39" i="132"/>
  <c r="G41" i="132" l="1"/>
  <c r="E40" i="68"/>
  <c r="E41" i="68" s="1"/>
  <c r="F17" i="68"/>
  <c r="E20" i="68"/>
  <c r="E22" i="68"/>
  <c r="E12" i="68"/>
  <c r="E55" i="68"/>
  <c r="E29" i="68" l="1"/>
  <c r="B24" i="68"/>
  <c r="C24" i="68"/>
  <c r="C25" i="68" s="1"/>
  <c r="C27" i="68" s="1"/>
  <c r="C47" i="68" s="1"/>
  <c r="D24" i="68"/>
  <c r="E24" i="68"/>
  <c r="B40" i="112"/>
  <c r="B41" i="112" s="1"/>
  <c r="B22" i="112"/>
  <c r="B16" i="112" s="1"/>
  <c r="B17" i="112" s="1"/>
  <c r="B29" i="112"/>
  <c r="B12" i="112"/>
  <c r="B55" i="112"/>
  <c r="B46" i="112"/>
  <c r="D25" i="68" l="1"/>
  <c r="D27" i="68" s="1"/>
  <c r="D47" i="68" s="1"/>
  <c r="C52" i="68"/>
  <c r="C51" i="68"/>
  <c r="C50" i="68"/>
  <c r="B25" i="68"/>
  <c r="B27" i="68"/>
  <c r="B47" i="68" s="1"/>
  <c r="B24" i="112"/>
  <c r="B27" i="112" s="1"/>
  <c r="B47" i="112" s="1"/>
  <c r="B52" i="112" s="1"/>
  <c r="E25" i="68"/>
  <c r="E27" i="68"/>
  <c r="E47" i="68" s="1"/>
  <c r="B50" i="112"/>
  <c r="G13" i="118"/>
  <c r="G22" i="118"/>
  <c r="D24" i="118" s="1"/>
  <c r="G17" i="118"/>
  <c r="D51" i="68" l="1"/>
  <c r="D52" i="68"/>
  <c r="D50" i="68"/>
  <c r="D27" i="118"/>
  <c r="D47" i="118" s="1"/>
  <c r="D25" i="118"/>
  <c r="B52" i="68"/>
  <c r="B51" i="68"/>
  <c r="B50" i="68"/>
  <c r="B51" i="112"/>
  <c r="E52" i="68"/>
  <c r="E50" i="68"/>
  <c r="E51" i="68"/>
  <c r="G42" i="34"/>
  <c r="G40" i="34"/>
  <c r="G41" i="34" s="1"/>
  <c r="G12" i="34"/>
  <c r="G22" i="34"/>
  <c r="G29" i="34" l="1"/>
  <c r="D24" i="34"/>
  <c r="D27" i="34" s="1"/>
  <c r="D47" i="34" s="1"/>
  <c r="D50" i="118"/>
  <c r="D51" i="118"/>
  <c r="D52" i="118"/>
  <c r="D55" i="118"/>
  <c r="G17" i="34"/>
  <c r="D46" i="34"/>
  <c r="E46" i="34"/>
  <c r="F46" i="34"/>
  <c r="G46" i="34"/>
  <c r="G35" i="108"/>
  <c r="G21" i="108"/>
  <c r="G22" i="108" s="1"/>
  <c r="G41" i="108"/>
  <c r="G46" i="108"/>
  <c r="G17" i="108"/>
  <c r="G13" i="108"/>
  <c r="G29" i="108" l="1"/>
  <c r="D24" i="108"/>
  <c r="D27" i="108" s="1"/>
  <c r="D47" i="108" s="1"/>
  <c r="D52" i="34"/>
  <c r="D55" i="34"/>
  <c r="D51" i="34"/>
  <c r="D50" i="34"/>
  <c r="G40" i="121"/>
  <c r="G41" i="121" s="1"/>
  <c r="G16" i="121"/>
  <c r="K16" i="121"/>
  <c r="G22" i="121"/>
  <c r="D24" i="121" s="1"/>
  <c r="G12" i="121"/>
  <c r="K12" i="121"/>
  <c r="G55" i="121"/>
  <c r="D27" i="121" l="1"/>
  <c r="D47" i="121" s="1"/>
  <c r="D51" i="121" s="1"/>
  <c r="D25" i="121"/>
  <c r="D52" i="108"/>
  <c r="D55" i="108"/>
  <c r="D50" i="108"/>
  <c r="D51" i="108"/>
  <c r="D46" i="121"/>
  <c r="E46" i="121"/>
  <c r="D50" i="121"/>
  <c r="D52" i="121"/>
  <c r="G29" i="121"/>
  <c r="G46" i="121"/>
  <c r="F46" i="121"/>
  <c r="G13" i="121"/>
  <c r="G17" i="121"/>
  <c r="M16" i="20"/>
  <c r="L16" i="20" s="1"/>
  <c r="F40" i="20" l="1"/>
  <c r="F41" i="20"/>
  <c r="F22" i="20"/>
  <c r="F17" i="20"/>
  <c r="F12" i="20"/>
  <c r="F55" i="20"/>
  <c r="F46" i="20"/>
  <c r="C46" i="20" l="1"/>
  <c r="D46" i="20"/>
  <c r="E46" i="20"/>
  <c r="C24" i="20"/>
  <c r="C27" i="20" s="1"/>
  <c r="C47" i="20" s="1"/>
  <c r="F29" i="20"/>
  <c r="G22" i="134"/>
  <c r="G17" i="134"/>
  <c r="G13" i="134"/>
  <c r="G46" i="134"/>
  <c r="G29" i="134" l="1"/>
  <c r="G35" i="134" s="1"/>
  <c r="G37" i="134" s="1"/>
  <c r="D24" i="134"/>
  <c r="D27" i="134" s="1"/>
  <c r="D47" i="134" s="1"/>
  <c r="C52" i="20"/>
  <c r="C51" i="20"/>
  <c r="C50" i="20"/>
  <c r="H42" i="136"/>
  <c r="N22" i="136"/>
  <c r="M22" i="136"/>
  <c r="L22" i="136"/>
  <c r="L29" i="136" s="1"/>
  <c r="J22" i="136"/>
  <c r="I22" i="136"/>
  <c r="H40" i="136"/>
  <c r="H41" i="136" s="1"/>
  <c r="L17" i="136"/>
  <c r="H22" i="136"/>
  <c r="H29" i="136" s="1"/>
  <c r="H17" i="136"/>
  <c r="H13" i="136"/>
  <c r="D50" i="134" l="1"/>
  <c r="D55" i="134"/>
  <c r="D52" i="134"/>
  <c r="D51" i="134"/>
  <c r="D48" i="134"/>
  <c r="D53" i="134" s="1"/>
  <c r="H24" i="136"/>
  <c r="E24" i="136"/>
  <c r="G24" i="136"/>
  <c r="F24" i="136"/>
  <c r="J22" i="80"/>
  <c r="F42" i="80"/>
  <c r="F40" i="80"/>
  <c r="F41" i="80" s="1"/>
  <c r="F19" i="80"/>
  <c r="F12" i="80"/>
  <c r="D46" i="80" l="1"/>
  <c r="E46" i="80"/>
  <c r="E25" i="136"/>
  <c r="E27" i="136" s="1"/>
  <c r="E47" i="136" s="1"/>
  <c r="F25" i="136"/>
  <c r="F27" i="136" s="1"/>
  <c r="F47" i="136" s="1"/>
  <c r="H25" i="136"/>
  <c r="H27" i="136" s="1"/>
  <c r="H47" i="136" s="1"/>
  <c r="G25" i="136"/>
  <c r="G27" i="136" s="1"/>
  <c r="G47" i="136" s="1"/>
  <c r="F46" i="80"/>
  <c r="I25" i="126"/>
  <c r="K25" i="126"/>
  <c r="J25" i="126"/>
  <c r="K35" i="126"/>
  <c r="J35" i="126"/>
  <c r="I35" i="126"/>
  <c r="H35" i="126"/>
  <c r="H37" i="126" s="1"/>
  <c r="H17" i="126"/>
  <c r="H46" i="126"/>
  <c r="H40" i="126"/>
  <c r="H41" i="126" s="1"/>
  <c r="E48" i="126" l="1"/>
  <c r="E53" i="126" s="1"/>
  <c r="G50" i="136"/>
  <c r="G51" i="136"/>
  <c r="G52" i="136"/>
  <c r="G55" i="136"/>
  <c r="H50" i="136"/>
  <c r="H51" i="136"/>
  <c r="H55" i="136"/>
  <c r="H52" i="136"/>
  <c r="F52" i="136"/>
  <c r="F55" i="136"/>
  <c r="F50" i="136"/>
  <c r="F51" i="136"/>
  <c r="E55" i="136"/>
  <c r="E52" i="136"/>
  <c r="E50" i="136"/>
  <c r="E51" i="136"/>
  <c r="H16" i="123"/>
  <c r="L16" i="123"/>
  <c r="H40" i="123"/>
  <c r="H41" i="123" s="1"/>
  <c r="H12" i="123"/>
  <c r="D13" i="123" s="1"/>
  <c r="G46" i="123" l="1"/>
  <c r="E46" i="123"/>
  <c r="F46" i="123"/>
  <c r="H46" i="123"/>
  <c r="H17" i="123"/>
  <c r="H22" i="123"/>
  <c r="H29" i="123" s="1"/>
  <c r="E40" i="122"/>
  <c r="E42" i="122"/>
  <c r="I33" i="122"/>
  <c r="E33" i="122"/>
  <c r="E41" i="122"/>
  <c r="E16" i="122"/>
  <c r="E22" i="122"/>
  <c r="B24" i="122" s="1"/>
  <c r="E12" i="122"/>
  <c r="B46" i="122" s="1"/>
  <c r="E17" i="122" l="1"/>
  <c r="E24" i="123"/>
  <c r="E27" i="123" s="1"/>
  <c r="E47" i="123" s="1"/>
  <c r="E46" i="122"/>
  <c r="D46" i="122"/>
  <c r="C46" i="122"/>
  <c r="E29" i="122"/>
  <c r="B46" i="119"/>
  <c r="B40" i="119"/>
  <c r="B37" i="119"/>
  <c r="B29" i="119"/>
  <c r="B24" i="119"/>
  <c r="B27" i="119" s="1"/>
  <c r="B47" i="119" s="1"/>
  <c r="B21" i="119"/>
  <c r="B33" i="119" s="1"/>
  <c r="B17" i="119"/>
  <c r="B13" i="119"/>
  <c r="B52" i="119" l="1"/>
  <c r="B55" i="119"/>
  <c r="E55" i="123"/>
  <c r="E52" i="123"/>
  <c r="E50" i="123"/>
  <c r="E51" i="123"/>
  <c r="B34" i="119"/>
  <c r="B50" i="119"/>
  <c r="B51" i="119"/>
  <c r="G39" i="26"/>
  <c r="G30" i="26"/>
  <c r="F30" i="26" s="1"/>
  <c r="E30" i="26" s="1"/>
  <c r="D30" i="26" s="1"/>
  <c r="G32" i="26"/>
  <c r="F32" i="26" s="1"/>
  <c r="E32" i="26" s="1"/>
  <c r="D32" i="26" s="1"/>
  <c r="G17" i="26"/>
  <c r="G29" i="26"/>
  <c r="G37" i="26"/>
  <c r="G13" i="26"/>
  <c r="G46" i="26"/>
  <c r="H22" i="26"/>
  <c r="H16" i="26"/>
  <c r="H17" i="26" s="1"/>
  <c r="H40" i="26"/>
  <c r="H13" i="26"/>
  <c r="H46" i="26"/>
  <c r="G24" i="26" l="1"/>
  <c r="G27" i="26" s="1"/>
  <c r="G47" i="26" s="1"/>
  <c r="E24" i="26"/>
  <c r="F24" i="26"/>
  <c r="H41" i="26"/>
  <c r="E40" i="26"/>
  <c r="E41" i="26" s="1"/>
  <c r="F40" i="26"/>
  <c r="F41" i="26" s="1"/>
  <c r="D48" i="26"/>
  <c r="D53" i="26" s="1"/>
  <c r="G40" i="26"/>
  <c r="G50" i="26"/>
  <c r="G41" i="26"/>
  <c r="G55" i="26" s="1"/>
  <c r="H29" i="26"/>
  <c r="H24" i="26"/>
  <c r="H27" i="26" s="1"/>
  <c r="H47" i="26" s="1"/>
  <c r="H51" i="26" s="1"/>
  <c r="H40" i="15"/>
  <c r="G46" i="15"/>
  <c r="H22" i="15"/>
  <c r="E24" i="15" s="1"/>
  <c r="E27" i="15" s="1"/>
  <c r="E47" i="15" s="1"/>
  <c r="L16" i="15"/>
  <c r="E25" i="26" l="1"/>
  <c r="E27" i="26" s="1"/>
  <c r="E47" i="26" s="1"/>
  <c r="G51" i="26"/>
  <c r="F25" i="26"/>
  <c r="F27" i="26"/>
  <c r="F47" i="26" s="1"/>
  <c r="F50" i="26" s="1"/>
  <c r="H50" i="26"/>
  <c r="E50" i="15"/>
  <c r="E55" i="15"/>
  <c r="E52" i="15"/>
  <c r="E51" i="15"/>
  <c r="G52" i="26"/>
  <c r="H29" i="15"/>
  <c r="H17" i="15"/>
  <c r="H46" i="15"/>
  <c r="H52" i="26"/>
  <c r="H55" i="26"/>
  <c r="H42" i="48"/>
  <c r="AD16" i="48"/>
  <c r="H40" i="48"/>
  <c r="H41" i="48" s="1"/>
  <c r="L31" i="48"/>
  <c r="H31" i="48"/>
  <c r="H22" i="48"/>
  <c r="E24" i="48" s="1"/>
  <c r="H17" i="48"/>
  <c r="H13" i="48"/>
  <c r="E50" i="26" l="1"/>
  <c r="E52" i="26"/>
  <c r="E51" i="26"/>
  <c r="E55" i="26"/>
  <c r="F51" i="26"/>
  <c r="F55" i="26"/>
  <c r="F52" i="26"/>
  <c r="H29" i="48"/>
  <c r="H40" i="95"/>
  <c r="H41" i="95" s="1"/>
  <c r="H42" i="95"/>
  <c r="H16" i="95"/>
  <c r="H22" i="95" s="1"/>
  <c r="H12" i="95"/>
  <c r="D13" i="95" s="1"/>
  <c r="G46" i="95" l="1"/>
  <c r="E46" i="95"/>
  <c r="F46" i="95"/>
  <c r="E24" i="95"/>
  <c r="E27" i="95" s="1"/>
  <c r="E47" i="95" s="1"/>
  <c r="H29" i="95"/>
  <c r="H46" i="95"/>
  <c r="H17" i="95"/>
  <c r="H42" i="8"/>
  <c r="H40" i="8"/>
  <c r="H41" i="8" s="1"/>
  <c r="H12" i="8"/>
  <c r="H46" i="8" l="1"/>
  <c r="F46" i="8"/>
  <c r="E46" i="8"/>
  <c r="G46" i="8"/>
  <c r="D13" i="8"/>
  <c r="E55" i="95"/>
  <c r="E51" i="95"/>
  <c r="E50" i="95"/>
  <c r="E52" i="95"/>
  <c r="H17" i="8"/>
  <c r="H22" i="8"/>
  <c r="E24" i="8" s="1"/>
  <c r="E27" i="8" s="1"/>
  <c r="E47" i="8" s="1"/>
  <c r="E55" i="8" s="1"/>
  <c r="H42" i="83"/>
  <c r="H22" i="83"/>
  <c r="L21" i="83"/>
  <c r="H40" i="83"/>
  <c r="G40" i="83" s="1"/>
  <c r="G41" i="83" s="1"/>
  <c r="H41" i="83"/>
  <c r="H12" i="83"/>
  <c r="D13" i="83" s="1"/>
  <c r="H46" i="83"/>
  <c r="E52" i="8" l="1"/>
  <c r="E51" i="8"/>
  <c r="E50" i="8"/>
  <c r="H29" i="8"/>
  <c r="G46" i="83"/>
  <c r="E46" i="83"/>
  <c r="F46" i="83"/>
  <c r="E24" i="83"/>
  <c r="E27" i="83" s="1"/>
  <c r="E47" i="83" s="1"/>
  <c r="H29" i="83"/>
  <c r="H17" i="83"/>
  <c r="K31" i="73"/>
  <c r="K30" i="73"/>
  <c r="G30" i="73"/>
  <c r="K32" i="73"/>
  <c r="H31" i="73"/>
  <c r="E31" i="73" s="1"/>
  <c r="G40" i="73"/>
  <c r="G41" i="73" s="1"/>
  <c r="G33" i="73"/>
  <c r="G37" i="73"/>
  <c r="D48" i="73" s="1"/>
  <c r="D53" i="73" s="1"/>
  <c r="G22" i="73"/>
  <c r="G17" i="73"/>
  <c r="G13" i="73"/>
  <c r="E50" i="83" l="1"/>
  <c r="E55" i="83"/>
  <c r="E51" i="83"/>
  <c r="E52" i="83"/>
  <c r="D24" i="73"/>
  <c r="D26" i="73" s="1"/>
  <c r="D27" i="73" s="1"/>
  <c r="D47" i="73" s="1"/>
  <c r="G29" i="73"/>
  <c r="G34" i="73" s="1"/>
  <c r="G21" i="25"/>
  <c r="G16" i="25" s="1"/>
  <c r="G17" i="25" s="1"/>
  <c r="G29" i="25"/>
  <c r="G13" i="25"/>
  <c r="G42" i="25"/>
  <c r="G41" i="25"/>
  <c r="D52" i="73" l="1"/>
  <c r="D55" i="73"/>
  <c r="D50" i="73"/>
  <c r="D51" i="73"/>
  <c r="J36" i="42"/>
  <c r="I36" i="42" s="1"/>
  <c r="F36" i="42"/>
  <c r="E36" i="42" s="1"/>
  <c r="F42" i="42"/>
  <c r="F40" i="42"/>
  <c r="F41" i="42" s="1"/>
  <c r="F16" i="42"/>
  <c r="F32" i="42"/>
  <c r="E32" i="42" s="1"/>
  <c r="D32" i="42" s="1"/>
  <c r="C32" i="42" s="1"/>
  <c r="F37" i="42"/>
  <c r="F13" i="42"/>
  <c r="E37" i="42" l="1"/>
  <c r="D36" i="42"/>
  <c r="F17" i="42"/>
  <c r="C16" i="42"/>
  <c r="F22" i="42"/>
  <c r="F29" i="42"/>
  <c r="G40" i="139"/>
  <c r="G41" i="139" s="1"/>
  <c r="G55" i="139" s="1"/>
  <c r="H10" i="139"/>
  <c r="I10" i="139" s="1"/>
  <c r="J10" i="139" s="1"/>
  <c r="C17" i="42" l="1"/>
  <c r="C22" i="42"/>
  <c r="C36" i="42"/>
  <c r="C37" i="42" s="1"/>
  <c r="D37" i="42"/>
  <c r="G53" i="139"/>
  <c r="G52" i="139"/>
  <c r="G51" i="139"/>
  <c r="G50" i="139"/>
  <c r="E40" i="125"/>
  <c r="D40" i="125"/>
  <c r="D41" i="125" s="1"/>
  <c r="D42" i="125"/>
  <c r="D19" i="125"/>
  <c r="D21" i="125"/>
  <c r="D20" i="125"/>
  <c r="D12" i="125"/>
  <c r="B46" i="125" s="1"/>
  <c r="I37" i="1"/>
  <c r="D33" i="125" l="1"/>
  <c r="B24" i="42"/>
  <c r="B27" i="42" s="1"/>
  <c r="B47" i="42" s="1"/>
  <c r="C24" i="42"/>
  <c r="C27" i="42" s="1"/>
  <c r="C47" i="42" s="1"/>
  <c r="C29" i="42"/>
  <c r="B48" i="42"/>
  <c r="B53" i="42" s="1"/>
  <c r="C48" i="42"/>
  <c r="C53" i="42" s="1"/>
  <c r="D46" i="125"/>
  <c r="C46" i="125"/>
  <c r="L35" i="135"/>
  <c r="L32" i="135"/>
  <c r="H37" i="135"/>
  <c r="H29" i="135"/>
  <c r="H46" i="135"/>
  <c r="H27" i="135"/>
  <c r="H47" i="135" s="1"/>
  <c r="H13" i="135"/>
  <c r="E37" i="1"/>
  <c r="J37" i="1"/>
  <c r="F37" i="1"/>
  <c r="C37" i="1"/>
  <c r="O37" i="1"/>
  <c r="C55" i="42" l="1"/>
  <c r="C52" i="42"/>
  <c r="C50" i="42"/>
  <c r="C51" i="42"/>
  <c r="B50" i="42"/>
  <c r="B55" i="42"/>
  <c r="B51" i="42"/>
  <c r="B52" i="42"/>
  <c r="I46" i="137"/>
  <c r="I40" i="137"/>
  <c r="I41" i="137" s="1"/>
  <c r="I53" i="137" s="1"/>
  <c r="I22" i="137"/>
  <c r="I17" i="137"/>
  <c r="I13" i="137"/>
  <c r="G24" i="137" l="1"/>
  <c r="G27" i="137" s="1"/>
  <c r="G47" i="137" s="1"/>
  <c r="F24" i="137"/>
  <c r="F27" i="137" s="1"/>
  <c r="F47" i="137" s="1"/>
  <c r="I29" i="137"/>
  <c r="E27" i="137"/>
  <c r="E47" i="137" s="1"/>
  <c r="F55" i="137" l="1"/>
  <c r="F52" i="137"/>
  <c r="F51" i="137"/>
  <c r="F50" i="137"/>
  <c r="G50" i="137"/>
  <c r="G52" i="137"/>
  <c r="G51" i="137"/>
  <c r="G55" i="137"/>
  <c r="E55" i="137"/>
  <c r="E52" i="137"/>
  <c r="E51" i="137"/>
  <c r="E50" i="137"/>
  <c r="H40" i="138"/>
  <c r="H50" i="138" s="1"/>
  <c r="H41" i="138" l="1"/>
  <c r="I25" i="136"/>
  <c r="J27" i="136"/>
  <c r="J24" i="136" s="1"/>
  <c r="I24" i="136" s="1"/>
  <c r="M36" i="136"/>
  <c r="I40" i="136"/>
  <c r="I41" i="136" s="1"/>
  <c r="I42" i="136"/>
  <c r="M17" i="136"/>
  <c r="I29" i="136"/>
  <c r="I17" i="136"/>
  <c r="I36" i="136"/>
  <c r="H36" i="136" s="1"/>
  <c r="G36" i="136" s="1"/>
  <c r="I35" i="136"/>
  <c r="H35" i="136" s="1"/>
  <c r="G35" i="136" s="1"/>
  <c r="G37" i="136" s="1"/>
  <c r="M35" i="136"/>
  <c r="L35" i="136" s="1"/>
  <c r="K35" i="136" s="1"/>
  <c r="M29" i="136"/>
  <c r="I13" i="136"/>
  <c r="I27" i="136" l="1"/>
  <c r="I47" i="136" s="1"/>
  <c r="I50" i="136" s="1"/>
  <c r="M37" i="136"/>
  <c r="L36" i="136"/>
  <c r="I37" i="136"/>
  <c r="H37" i="136"/>
  <c r="H55" i="138"/>
  <c r="H52" i="138"/>
  <c r="H51" i="138"/>
  <c r="H53" i="138"/>
  <c r="I52" i="136"/>
  <c r="I55" i="136"/>
  <c r="H40" i="132"/>
  <c r="H41" i="132" s="1"/>
  <c r="L22" i="132"/>
  <c r="H48" i="132"/>
  <c r="G48" i="132" s="1"/>
  <c r="H22" i="132"/>
  <c r="H29" i="132" s="1"/>
  <c r="G53" i="132" l="1"/>
  <c r="F48" i="132"/>
  <c r="L37" i="136"/>
  <c r="K36" i="136"/>
  <c r="K37" i="136" s="1"/>
  <c r="I51" i="136"/>
  <c r="H24" i="132"/>
  <c r="H27" i="132" s="1"/>
  <c r="H47" i="132" s="1"/>
  <c r="I48" i="136"/>
  <c r="I53" i="136" s="1"/>
  <c r="G24" i="132"/>
  <c r="H53" i="132"/>
  <c r="H40" i="27"/>
  <c r="H32" i="27"/>
  <c r="L32" i="27"/>
  <c r="H37" i="27"/>
  <c r="H13" i="27"/>
  <c r="H22" i="27"/>
  <c r="H29" i="27" s="1"/>
  <c r="H34" i="27" s="1"/>
  <c r="H17" i="27"/>
  <c r="H50" i="132" l="1"/>
  <c r="H55" i="132"/>
  <c r="G25" i="132"/>
  <c r="G27" i="132" s="1"/>
  <c r="G47" i="132" s="1"/>
  <c r="G51" i="132" s="1"/>
  <c r="F24" i="132"/>
  <c r="E48" i="27"/>
  <c r="E53" i="27" s="1"/>
  <c r="F53" i="132"/>
  <c r="E48" i="132"/>
  <c r="E24" i="27"/>
  <c r="H52" i="132"/>
  <c r="H51" i="132"/>
  <c r="H48" i="136"/>
  <c r="G55" i="132"/>
  <c r="G50" i="132" l="1"/>
  <c r="F25" i="132"/>
  <c r="F27" i="132"/>
  <c r="F47" i="132" s="1"/>
  <c r="G52" i="132"/>
  <c r="E53" i="132"/>
  <c r="D48" i="132"/>
  <c r="D53" i="132" s="1"/>
  <c r="H53" i="136"/>
  <c r="G48" i="136"/>
  <c r="E26" i="27"/>
  <c r="E27" i="27" s="1"/>
  <c r="E47" i="27" s="1"/>
  <c r="H40" i="120"/>
  <c r="H41" i="120"/>
  <c r="H37" i="120"/>
  <c r="H22" i="120"/>
  <c r="E24" i="120" s="1"/>
  <c r="E25" i="120" s="1"/>
  <c r="E27" i="120" s="1"/>
  <c r="E47" i="120" s="1"/>
  <c r="H17" i="120"/>
  <c r="H13" i="120"/>
  <c r="E48" i="120" l="1"/>
  <c r="E53" i="120" s="1"/>
  <c r="F50" i="132"/>
  <c r="F52" i="132"/>
  <c r="F55" i="132"/>
  <c r="F51" i="132"/>
  <c r="G53" i="136"/>
  <c r="E50" i="120"/>
  <c r="E52" i="120"/>
  <c r="E51" i="120"/>
  <c r="E55" i="120"/>
  <c r="E50" i="27"/>
  <c r="E51" i="27"/>
  <c r="E52" i="27"/>
  <c r="H29" i="120"/>
  <c r="H44" i="108"/>
  <c r="H46" i="108"/>
  <c r="H40" i="108"/>
  <c r="H41" i="108" s="1"/>
  <c r="H21" i="108"/>
  <c r="H22" i="108" s="1"/>
  <c r="H17" i="108"/>
  <c r="H13" i="108"/>
  <c r="H32" i="108"/>
  <c r="H37" i="108"/>
  <c r="E24" i="108" l="1"/>
  <c r="E27" i="108" s="1"/>
  <c r="E47" i="108" s="1"/>
  <c r="H29" i="108"/>
  <c r="O33" i="130"/>
  <c r="N33" i="130"/>
  <c r="M33" i="130"/>
  <c r="L33" i="130"/>
  <c r="H32" i="130"/>
  <c r="G32" i="130" s="1"/>
  <c r="M32" i="130"/>
  <c r="L32" i="130" s="1"/>
  <c r="N31" i="130"/>
  <c r="M31" i="130" s="1"/>
  <c r="L31" i="130" s="1"/>
  <c r="H30" i="130"/>
  <c r="G30" i="130" s="1"/>
  <c r="H31" i="130"/>
  <c r="G31" i="130" s="1"/>
  <c r="N30" i="130"/>
  <c r="M30" i="130" s="1"/>
  <c r="L30" i="130" s="1"/>
  <c r="H40" i="130"/>
  <c r="H46" i="130"/>
  <c r="K22" i="130"/>
  <c r="K17" i="130"/>
  <c r="J22" i="130"/>
  <c r="J17" i="130"/>
  <c r="I22" i="130"/>
  <c r="F24" i="130" s="1"/>
  <c r="F26" i="130" s="1"/>
  <c r="F27" i="130" s="1"/>
  <c r="F47" i="130" s="1"/>
  <c r="I17" i="130"/>
  <c r="H41" i="130"/>
  <c r="H22" i="130"/>
  <c r="E24" i="130" s="1"/>
  <c r="H17" i="130"/>
  <c r="H13" i="130"/>
  <c r="E55" i="108" l="1"/>
  <c r="E50" i="108"/>
  <c r="E51" i="108"/>
  <c r="E52" i="108"/>
  <c r="E26" i="130"/>
  <c r="E27" i="130" s="1"/>
  <c r="E47" i="130" s="1"/>
  <c r="F50" i="130"/>
  <c r="F52" i="130"/>
  <c r="F51" i="130"/>
  <c r="G24" i="130"/>
  <c r="G26" i="130"/>
  <c r="G27" i="130" s="1"/>
  <c r="G47" i="130" s="1"/>
  <c r="H29" i="130"/>
  <c r="H46" i="118"/>
  <c r="H22" i="118"/>
  <c r="H17" i="118"/>
  <c r="H13" i="118"/>
  <c r="E24" i="118" l="1"/>
  <c r="E52" i="130"/>
  <c r="E51" i="130"/>
  <c r="E50" i="130"/>
  <c r="G52" i="130"/>
  <c r="G50" i="130"/>
  <c r="G51" i="130"/>
  <c r="H16" i="129"/>
  <c r="H40" i="129"/>
  <c r="H41" i="129"/>
  <c r="G35" i="129"/>
  <c r="H13" i="129"/>
  <c r="E25" i="118" l="1"/>
  <c r="E27" i="118" s="1"/>
  <c r="E47" i="118" s="1"/>
  <c r="H22" i="129"/>
  <c r="H29" i="129" s="1"/>
  <c r="H17" i="129"/>
  <c r="G22" i="129"/>
  <c r="G17" i="129"/>
  <c r="H31" i="133"/>
  <c r="H30" i="133"/>
  <c r="H32" i="133"/>
  <c r="H36" i="133"/>
  <c r="H35" i="133"/>
  <c r="E55" i="118" l="1"/>
  <c r="E51" i="118"/>
  <c r="E50" i="118"/>
  <c r="E52" i="118"/>
  <c r="E24" i="129"/>
  <c r="D24" i="129"/>
  <c r="G29" i="129"/>
  <c r="H41" i="133"/>
  <c r="H22" i="133"/>
  <c r="H29" i="133" s="1"/>
  <c r="H17" i="133"/>
  <c r="L22" i="133"/>
  <c r="L17" i="133"/>
  <c r="M17" i="133"/>
  <c r="H13" i="133"/>
  <c r="D25" i="129" l="1"/>
  <c r="D27" i="129" s="1"/>
  <c r="D47" i="129" s="1"/>
  <c r="E25" i="129"/>
  <c r="E27" i="129" s="1"/>
  <c r="E47" i="129" s="1"/>
  <c r="H24" i="133"/>
  <c r="H41" i="72"/>
  <c r="H22" i="72"/>
  <c r="H17" i="72"/>
  <c r="H13" i="72"/>
  <c r="D55" i="129" l="1"/>
  <c r="D51" i="129"/>
  <c r="D50" i="129"/>
  <c r="D52" i="129"/>
  <c r="E52" i="129"/>
  <c r="E55" i="129"/>
  <c r="E51" i="129"/>
  <c r="E50" i="129"/>
  <c r="H29" i="72"/>
  <c r="H35" i="72" s="1"/>
  <c r="H37" i="72" s="1"/>
  <c r="E48" i="72" s="1"/>
  <c r="E53" i="72" s="1"/>
  <c r="H25" i="133"/>
  <c r="H27" i="133"/>
  <c r="H47" i="133" s="1"/>
  <c r="H55" i="72"/>
  <c r="H46" i="72"/>
  <c r="H50" i="133" l="1"/>
  <c r="H51" i="133"/>
  <c r="H55" i="133"/>
  <c r="H52" i="133"/>
  <c r="L30" i="47"/>
  <c r="H30" i="47"/>
  <c r="H39" i="47"/>
  <c r="H32" i="47"/>
  <c r="L32" i="47"/>
  <c r="H37" i="47"/>
  <c r="H17" i="47"/>
  <c r="H13" i="47"/>
  <c r="E48" i="47" l="1"/>
  <c r="E53" i="47" s="1"/>
  <c r="H22" i="47"/>
  <c r="E24" i="47" s="1"/>
  <c r="H32" i="13"/>
  <c r="H41" i="13"/>
  <c r="H37" i="13"/>
  <c r="E48" i="13" s="1"/>
  <c r="E53" i="13" s="1"/>
  <c r="H17" i="13"/>
  <c r="H13" i="13"/>
  <c r="E26" i="47" l="1"/>
  <c r="E27" i="47" s="1"/>
  <c r="E47" i="47" s="1"/>
  <c r="F24" i="47"/>
  <c r="G24" i="47"/>
  <c r="G26" i="47" s="1"/>
  <c r="G27" i="47" s="1"/>
  <c r="G47" i="47" s="1"/>
  <c r="H29" i="13"/>
  <c r="H29" i="47"/>
  <c r="H55" i="13"/>
  <c r="H46" i="13"/>
  <c r="E50" i="47" l="1"/>
  <c r="E55" i="47"/>
  <c r="E52" i="47"/>
  <c r="E51" i="47"/>
  <c r="G55" i="47"/>
  <c r="G51" i="47"/>
  <c r="G52" i="47"/>
  <c r="G50" i="47"/>
  <c r="F26" i="47"/>
  <c r="F27" i="47"/>
  <c r="F47" i="47" s="1"/>
  <c r="F40" i="81"/>
  <c r="F41" i="81" s="1"/>
  <c r="F52" i="47" l="1"/>
  <c r="F50" i="47"/>
  <c r="F55" i="47"/>
  <c r="F51" i="47"/>
  <c r="F22" i="81"/>
  <c r="F17" i="81"/>
  <c r="F30" i="81"/>
  <c r="F31" i="81"/>
  <c r="F32" i="81"/>
  <c r="F29" i="81"/>
  <c r="F37" i="81"/>
  <c r="F13" i="81"/>
  <c r="F55" i="81"/>
  <c r="F46" i="81"/>
  <c r="C24" i="81" l="1"/>
  <c r="C48" i="81"/>
  <c r="C53" i="81" s="1"/>
  <c r="G40" i="80"/>
  <c r="G16" i="80"/>
  <c r="G44" i="80"/>
  <c r="G42" i="80"/>
  <c r="G41" i="80"/>
  <c r="G22" i="80"/>
  <c r="G13" i="80"/>
  <c r="C25" i="81" l="1"/>
  <c r="C27" i="81"/>
  <c r="C47" i="81" s="1"/>
  <c r="G29" i="80"/>
  <c r="F22" i="80"/>
  <c r="G17" i="80"/>
  <c r="G21" i="80"/>
  <c r="D24" i="80" l="1"/>
  <c r="D27" i="80" s="1"/>
  <c r="D47" i="80" s="1"/>
  <c r="E24" i="80"/>
  <c r="E27" i="80" s="1"/>
  <c r="E47" i="80" s="1"/>
  <c r="C52" i="81"/>
  <c r="C50" i="81"/>
  <c r="C51" i="81"/>
  <c r="F24" i="80"/>
  <c r="F27" i="80" s="1"/>
  <c r="F47" i="80" s="1"/>
  <c r="F29" i="80"/>
  <c r="K40" i="58"/>
  <c r="L47" i="58"/>
  <c r="L40" i="58"/>
  <c r="L39" i="58"/>
  <c r="L41" i="58" s="1"/>
  <c r="M40" i="58"/>
  <c r="J40" i="58"/>
  <c r="I40" i="58"/>
  <c r="I41" i="58" s="1"/>
  <c r="H40" i="58"/>
  <c r="H41" i="58" s="1"/>
  <c r="R22" i="58"/>
  <c r="H55" i="58"/>
  <c r="H22" i="58"/>
  <c r="H12" i="58"/>
  <c r="H17" i="58" l="1"/>
  <c r="D13" i="58"/>
  <c r="E50" i="80"/>
  <c r="E55" i="80"/>
  <c r="E52" i="80"/>
  <c r="E51" i="80"/>
  <c r="E24" i="58"/>
  <c r="D52" i="80"/>
  <c r="D50" i="80"/>
  <c r="D55" i="80"/>
  <c r="D51" i="80"/>
  <c r="H13" i="58"/>
  <c r="F55" i="80"/>
  <c r="F52" i="80"/>
  <c r="F50" i="80"/>
  <c r="F51" i="80"/>
  <c r="H29" i="58"/>
  <c r="E25" i="58" l="1"/>
  <c r="E27" i="58"/>
  <c r="E47" i="58" s="1"/>
  <c r="H36" i="63"/>
  <c r="L36" i="63"/>
  <c r="H40" i="63"/>
  <c r="H41" i="63" s="1"/>
  <c r="H17" i="63"/>
  <c r="L21" i="63"/>
  <c r="H29" i="63"/>
  <c r="H24" i="63"/>
  <c r="H25" i="63" s="1"/>
  <c r="H13" i="63"/>
  <c r="H55" i="63"/>
  <c r="H37" i="63" l="1"/>
  <c r="G36" i="63"/>
  <c r="G37" i="63" s="1"/>
  <c r="E51" i="58"/>
  <c r="E52" i="58"/>
  <c r="E50" i="58"/>
  <c r="H27" i="63"/>
  <c r="H47" i="63" s="1"/>
  <c r="H51" i="63" s="1"/>
  <c r="H52" i="63"/>
  <c r="H50" i="63"/>
  <c r="L31" i="131"/>
  <c r="K31" i="131" s="1"/>
  <c r="H31" i="131"/>
  <c r="H40" i="131" l="1"/>
  <c r="H39" i="131"/>
  <c r="H41" i="131" s="1"/>
  <c r="H37" i="131" l="1"/>
  <c r="H21" i="131"/>
  <c r="L21" i="131"/>
  <c r="L16" i="131" s="1"/>
  <c r="L17" i="131" s="1"/>
  <c r="H46" i="131"/>
  <c r="H29" i="131"/>
  <c r="H24" i="131"/>
  <c r="H13" i="131"/>
  <c r="H16" i="131" l="1"/>
  <c r="H17" i="131" s="1"/>
  <c r="E48" i="131"/>
  <c r="E53" i="131" s="1"/>
  <c r="H26" i="131"/>
  <c r="H27" i="131" s="1"/>
  <c r="H47" i="131" s="1"/>
  <c r="H55" i="131" s="1"/>
  <c r="N16" i="128"/>
  <c r="H40" i="128"/>
  <c r="H41" i="128" s="1"/>
  <c r="H13" i="128"/>
  <c r="H22" i="128"/>
  <c r="H17" i="128"/>
  <c r="H30" i="128"/>
  <c r="G30" i="128" s="1"/>
  <c r="H31" i="128"/>
  <c r="G31" i="128" s="1"/>
  <c r="L31" i="128"/>
  <c r="K31" i="128" s="1"/>
  <c r="L30" i="128"/>
  <c r="K30" i="128" s="1"/>
  <c r="H36" i="128"/>
  <c r="G36" i="128" s="1"/>
  <c r="H35" i="128"/>
  <c r="G35" i="128" s="1"/>
  <c r="G37" i="128" s="1"/>
  <c r="L36" i="128"/>
  <c r="K36" i="128" s="1"/>
  <c r="H29" i="128" l="1"/>
  <c r="E24" i="128"/>
  <c r="H37" i="128"/>
  <c r="H50" i="131"/>
  <c r="H51" i="131"/>
  <c r="H52" i="131"/>
  <c r="H40" i="82"/>
  <c r="K40" i="82"/>
  <c r="H41" i="82"/>
  <c r="H22" i="82"/>
  <c r="H17" i="82"/>
  <c r="H13" i="82"/>
  <c r="H55" i="82"/>
  <c r="H47" i="82"/>
  <c r="E25" i="128" l="1"/>
  <c r="E27" i="128"/>
  <c r="E47" i="128" s="1"/>
  <c r="E24" i="82"/>
  <c r="E25" i="82" s="1"/>
  <c r="H29" i="82"/>
  <c r="H35" i="82" s="1"/>
  <c r="H52" i="82"/>
  <c r="H50" i="82"/>
  <c r="H51" i="82"/>
  <c r="F40" i="68"/>
  <c r="F41" i="68" s="1"/>
  <c r="F21" i="68"/>
  <c r="F33" i="68" s="1"/>
  <c r="F29" i="68"/>
  <c r="F13" i="68"/>
  <c r="F55" i="68"/>
  <c r="E55" i="128" l="1"/>
  <c r="E52" i="128"/>
  <c r="E50" i="128"/>
  <c r="E51" i="128"/>
  <c r="I41" i="97"/>
  <c r="J13" i="97"/>
  <c r="I46" i="96" l="1"/>
  <c r="G39" i="96"/>
  <c r="F39" i="96" s="1"/>
  <c r="F41" i="96" s="1"/>
  <c r="G25" i="96"/>
  <c r="F25" i="96" s="1"/>
  <c r="E25" i="96" s="1"/>
  <c r="G32" i="96"/>
  <c r="G35" i="96"/>
  <c r="G22" i="96"/>
  <c r="D24" i="96" s="1"/>
  <c r="G17" i="96"/>
  <c r="G13" i="96"/>
  <c r="I13" i="97" l="1"/>
  <c r="G29" i="96"/>
  <c r="G34" i="96" s="1"/>
  <c r="G37" i="96"/>
  <c r="D48" i="96" s="1"/>
  <c r="D53" i="96" s="1"/>
  <c r="L32" i="65"/>
  <c r="H40" i="65"/>
  <c r="H22" i="65"/>
  <c r="H17" i="65"/>
  <c r="H37" i="65"/>
  <c r="E48" i="65" s="1"/>
  <c r="E53" i="65" s="1"/>
  <c r="H13" i="65"/>
  <c r="H46" i="65"/>
  <c r="I10" i="65"/>
  <c r="J10" i="65" s="1"/>
  <c r="K10" i="65" s="1"/>
  <c r="L10" i="65" s="1"/>
  <c r="M10" i="65" s="1"/>
  <c r="N10" i="65" s="1"/>
  <c r="O10" i="65" s="1"/>
  <c r="P10" i="65" s="1"/>
  <c r="Q10" i="65" s="1"/>
  <c r="R10" i="65" s="1"/>
  <c r="S10" i="65" s="1"/>
  <c r="T10" i="65" s="1"/>
  <c r="U10" i="65" s="1"/>
  <c r="V10" i="65" s="1"/>
  <c r="W10" i="65" s="1"/>
  <c r="X10" i="65" s="1"/>
  <c r="E24" i="65" l="1"/>
  <c r="H29" i="65"/>
  <c r="H34" i="65" s="1"/>
  <c r="G30" i="57"/>
  <c r="M30" i="57"/>
  <c r="L30" i="57" s="1"/>
  <c r="M36" i="57"/>
  <c r="L36" i="57" s="1"/>
  <c r="M35" i="57"/>
  <c r="L35" i="57" s="1"/>
  <c r="K35" i="57" s="1"/>
  <c r="I36" i="57"/>
  <c r="G35" i="57"/>
  <c r="H40" i="57"/>
  <c r="H41" i="57" s="1"/>
  <c r="H46" i="57"/>
  <c r="H42" i="57"/>
  <c r="H29" i="57"/>
  <c r="H21" i="57"/>
  <c r="H33" i="57" s="1"/>
  <c r="H17" i="57"/>
  <c r="H13" i="57"/>
  <c r="E25" i="65" l="1"/>
  <c r="E27" i="65"/>
  <c r="E47" i="65" s="1"/>
  <c r="H34" i="57"/>
  <c r="L37" i="57"/>
  <c r="H37" i="57"/>
  <c r="G36" i="57"/>
  <c r="G37" i="57" s="1"/>
  <c r="I46" i="126"/>
  <c r="I17" i="126"/>
  <c r="I37" i="126"/>
  <c r="I27" i="126"/>
  <c r="I47" i="126" s="1"/>
  <c r="I40" i="126"/>
  <c r="I41" i="126" s="1"/>
  <c r="I53" i="126" s="1"/>
  <c r="E48" i="57" l="1"/>
  <c r="E53" i="57" s="1"/>
  <c r="D48" i="57"/>
  <c r="D53" i="57" s="1"/>
  <c r="E55" i="65"/>
  <c r="E51" i="65"/>
  <c r="E52" i="65"/>
  <c r="E50" i="65"/>
  <c r="F48" i="126"/>
  <c r="F53" i="126" s="1"/>
  <c r="I50" i="126"/>
  <c r="I52" i="126"/>
  <c r="I51" i="126"/>
  <c r="I55" i="126"/>
  <c r="I46" i="134"/>
  <c r="H46" i="134"/>
  <c r="H22" i="134"/>
  <c r="H17" i="134"/>
  <c r="I22" i="134"/>
  <c r="I17" i="134"/>
  <c r="H13" i="134"/>
  <c r="I13" i="134"/>
  <c r="E24" i="134" l="1"/>
  <c r="E27" i="134" s="1"/>
  <c r="E47" i="134" s="1"/>
  <c r="F24" i="134"/>
  <c r="F27" i="134" s="1"/>
  <c r="F47" i="134" s="1"/>
  <c r="I29" i="134"/>
  <c r="I35" i="134" s="1"/>
  <c r="I37" i="134" s="1"/>
  <c r="H29" i="134"/>
  <c r="H35" i="134" s="1"/>
  <c r="H37" i="134" s="1"/>
  <c r="E48" i="134" s="1"/>
  <c r="E53" i="134" s="1"/>
  <c r="I40" i="19"/>
  <c r="I39" i="19"/>
  <c r="I41" i="19" s="1"/>
  <c r="I22" i="19"/>
  <c r="I17" i="19"/>
  <c r="I13" i="19"/>
  <c r="I55" i="19"/>
  <c r="I46" i="19"/>
  <c r="F24" i="19" l="1"/>
  <c r="F48" i="134"/>
  <c r="F53" i="134" s="1"/>
  <c r="F55" i="134"/>
  <c r="F50" i="134"/>
  <c r="F52" i="134"/>
  <c r="F51" i="134"/>
  <c r="E52" i="134"/>
  <c r="E55" i="134"/>
  <c r="E50" i="134"/>
  <c r="E51" i="134"/>
  <c r="I29" i="19"/>
  <c r="G40" i="42"/>
  <c r="G41" i="42"/>
  <c r="K40" i="42"/>
  <c r="J40" i="42"/>
  <c r="I40" i="42"/>
  <c r="H40" i="42"/>
  <c r="G42" i="42"/>
  <c r="G21" i="42"/>
  <c r="G20" i="42"/>
  <c r="G19" i="42"/>
  <c r="G12" i="42"/>
  <c r="G46" i="42" l="1"/>
  <c r="C13" i="42"/>
  <c r="D46" i="42"/>
  <c r="F25" i="19"/>
  <c r="F27" i="19" s="1"/>
  <c r="F47" i="19" s="1"/>
  <c r="E46" i="42"/>
  <c r="F46" i="42"/>
  <c r="C16" i="112"/>
  <c r="C17" i="112" s="1"/>
  <c r="C40" i="112"/>
  <c r="C41" i="112" s="1"/>
  <c r="C29" i="112"/>
  <c r="C13" i="112"/>
  <c r="C55" i="112"/>
  <c r="F55" i="19" l="1"/>
  <c r="F52" i="19"/>
  <c r="F51" i="19"/>
  <c r="F50" i="19"/>
  <c r="H40" i="45"/>
  <c r="H41" i="45" s="1"/>
  <c r="AE17" i="45"/>
  <c r="AE16" i="45"/>
  <c r="AE18" i="45" s="1"/>
  <c r="H14" i="45" s="1"/>
  <c r="AF17" i="45"/>
  <c r="H36" i="45"/>
  <c r="L35" i="45"/>
  <c r="H13" i="45"/>
  <c r="G37" i="45" l="1"/>
  <c r="D48" i="45" s="1"/>
  <c r="D53" i="45" s="1"/>
  <c r="H37" i="45"/>
  <c r="I31" i="111"/>
  <c r="M31" i="111"/>
  <c r="I40" i="111"/>
  <c r="I41" i="111" s="1"/>
  <c r="I22" i="111"/>
  <c r="I17" i="111"/>
  <c r="M32" i="111"/>
  <c r="I35" i="111"/>
  <c r="H35" i="111" s="1"/>
  <c r="I36" i="111"/>
  <c r="M36" i="111"/>
  <c r="I13" i="111"/>
  <c r="F24" i="111" l="1"/>
  <c r="E48" i="45"/>
  <c r="E53" i="45" s="1"/>
  <c r="I37" i="111"/>
  <c r="I29" i="111"/>
  <c r="F26" i="111" l="1"/>
  <c r="F27" i="111"/>
  <c r="F47" i="111" s="1"/>
  <c r="I41" i="116"/>
  <c r="I37" i="116"/>
  <c r="I22" i="116"/>
  <c r="F24" i="116" s="1"/>
  <c r="F26" i="116" s="1"/>
  <c r="F27" i="116" s="1"/>
  <c r="F47" i="116" s="1"/>
  <c r="I17" i="116"/>
  <c r="I13" i="116"/>
  <c r="F48" i="116" l="1"/>
  <c r="F53" i="116" s="1"/>
  <c r="F50" i="111"/>
  <c r="F55" i="111"/>
  <c r="F51" i="111"/>
  <c r="F52" i="111"/>
  <c r="F52" i="116"/>
  <c r="F50" i="116"/>
  <c r="F51" i="116"/>
  <c r="I29" i="116"/>
  <c r="H16" i="3" l="1"/>
  <c r="H17" i="3" s="1"/>
  <c r="H24" i="3"/>
  <c r="H41" i="3"/>
  <c r="H29" i="3"/>
  <c r="H33" i="3"/>
  <c r="H13" i="3"/>
  <c r="I14" i="98" l="1"/>
  <c r="I46" i="98"/>
  <c r="I41" i="98"/>
  <c r="I40" i="98" s="1"/>
  <c r="I22" i="98"/>
  <c r="I13" i="98"/>
  <c r="I29" i="98" l="1"/>
  <c r="F24" i="98"/>
  <c r="F27" i="98" s="1"/>
  <c r="F47" i="98" s="1"/>
  <c r="I17" i="98"/>
  <c r="G46" i="98"/>
  <c r="H46" i="98"/>
  <c r="H44" i="102"/>
  <c r="F51" i="98" l="1"/>
  <c r="F52" i="98"/>
  <c r="F55" i="98"/>
  <c r="F50" i="98"/>
  <c r="H40" i="102"/>
  <c r="H39" i="102"/>
  <c r="H41" i="102" s="1"/>
  <c r="L32" i="102" l="1"/>
  <c r="H37" i="102"/>
  <c r="H33" i="102"/>
  <c r="H22" i="102"/>
  <c r="H29" i="102" s="1"/>
  <c r="H17" i="102"/>
  <c r="H13" i="102"/>
  <c r="I40" i="113" l="1"/>
  <c r="I41" i="113"/>
  <c r="I32" i="113"/>
  <c r="I37" i="113"/>
  <c r="I22" i="113"/>
  <c r="I17" i="113"/>
  <c r="I13" i="113"/>
  <c r="I46" i="113"/>
  <c r="F48" i="113" l="1"/>
  <c r="F53" i="113" s="1"/>
  <c r="I29" i="113"/>
  <c r="F24" i="113"/>
  <c r="F25" i="113" s="1"/>
  <c r="F27" i="113" s="1"/>
  <c r="F47" i="113" s="1"/>
  <c r="I41" i="54"/>
  <c r="I55" i="54"/>
  <c r="I46" i="54"/>
  <c r="I37" i="54"/>
  <c r="I22" i="54"/>
  <c r="F24" i="54" s="1"/>
  <c r="I17" i="54"/>
  <c r="I13" i="54"/>
  <c r="F48" i="54" l="1"/>
  <c r="F53" i="54" s="1"/>
  <c r="F55" i="113"/>
  <c r="F50" i="113"/>
  <c r="F51" i="113"/>
  <c r="F52" i="113"/>
  <c r="F25" i="54"/>
  <c r="F27" i="54" s="1"/>
  <c r="F47" i="54" s="1"/>
  <c r="I29" i="54"/>
  <c r="F50" i="54" l="1"/>
  <c r="F51" i="54"/>
  <c r="F52" i="54"/>
  <c r="M32" i="114"/>
  <c r="I42" i="114"/>
  <c r="I40" i="114"/>
  <c r="I39" i="114"/>
  <c r="I41" i="114" l="1"/>
  <c r="M30" i="114"/>
  <c r="I32" i="114"/>
  <c r="I37" i="114"/>
  <c r="F48" i="114" s="1"/>
  <c r="F53" i="114" s="1"/>
  <c r="I13" i="114"/>
  <c r="I22" i="114" l="1"/>
  <c r="I29" i="114" s="1"/>
  <c r="H22" i="114"/>
  <c r="E24" i="114" s="1"/>
  <c r="H17" i="114"/>
  <c r="I17" i="114"/>
  <c r="I22" i="89"/>
  <c r="I17" i="89"/>
  <c r="I32" i="89"/>
  <c r="M32" i="89"/>
  <c r="I31" i="89"/>
  <c r="I30" i="89"/>
  <c r="I37" i="89"/>
  <c r="M36" i="89"/>
  <c r="I13" i="89"/>
  <c r="E25" i="114" l="1"/>
  <c r="E27" i="114" s="1"/>
  <c r="E47" i="114" s="1"/>
  <c r="F48" i="89"/>
  <c r="F53" i="89" s="1"/>
  <c r="F24" i="89"/>
  <c r="F24" i="114"/>
  <c r="H29" i="114"/>
  <c r="I29" i="89"/>
  <c r="G13" i="20"/>
  <c r="G22" i="20"/>
  <c r="G17" i="20"/>
  <c r="G40" i="20"/>
  <c r="G41" i="20" s="1"/>
  <c r="G55" i="20"/>
  <c r="E55" i="114" l="1"/>
  <c r="E52" i="114"/>
  <c r="E51" i="114"/>
  <c r="E50" i="114"/>
  <c r="D24" i="20"/>
  <c r="D27" i="20" s="1"/>
  <c r="D47" i="20" s="1"/>
  <c r="F25" i="89"/>
  <c r="F27" i="89" s="1"/>
  <c r="F47" i="89" s="1"/>
  <c r="G29" i="20"/>
  <c r="H30" i="73"/>
  <c r="H40" i="73"/>
  <c r="H41" i="73" s="1"/>
  <c r="H26" i="73"/>
  <c r="H46" i="73"/>
  <c r="G46" i="73" s="1"/>
  <c r="F46" i="73" s="1"/>
  <c r="H44" i="73"/>
  <c r="H33" i="73"/>
  <c r="H37" i="73"/>
  <c r="E48" i="73" s="1"/>
  <c r="E53" i="73" s="1"/>
  <c r="H22" i="73"/>
  <c r="E24" i="73" s="1"/>
  <c r="E26" i="73" s="1"/>
  <c r="E27" i="73" s="1"/>
  <c r="E47" i="73" s="1"/>
  <c r="H17" i="73"/>
  <c r="H13" i="73"/>
  <c r="I40" i="73"/>
  <c r="I41" i="73" s="1"/>
  <c r="I44" i="73"/>
  <c r="E52" i="73" l="1"/>
  <c r="E55" i="73"/>
  <c r="E50" i="73"/>
  <c r="E51" i="73"/>
  <c r="E30" i="73"/>
  <c r="E34" i="73" s="1"/>
  <c r="F34" i="73"/>
  <c r="D52" i="20"/>
  <c r="D51" i="20"/>
  <c r="D50" i="20"/>
  <c r="F50" i="89"/>
  <c r="F52" i="89"/>
  <c r="F51" i="89"/>
  <c r="H29" i="73"/>
  <c r="H34" i="73" s="1"/>
  <c r="H42" i="34"/>
  <c r="H40" i="34"/>
  <c r="H41" i="34" s="1"/>
  <c r="H22" i="34"/>
  <c r="H17" i="34"/>
  <c r="H13" i="34"/>
  <c r="E24" i="34" l="1"/>
  <c r="E27" i="34" s="1"/>
  <c r="E47" i="34" s="1"/>
  <c r="H29" i="34"/>
  <c r="H41" i="121"/>
  <c r="H13" i="121"/>
  <c r="H22" i="121"/>
  <c r="E24" i="121" s="1"/>
  <c r="H17" i="121"/>
  <c r="H55" i="121"/>
  <c r="H46" i="121"/>
  <c r="E52" i="34" l="1"/>
  <c r="E50" i="34"/>
  <c r="E55" i="34"/>
  <c r="E51" i="34"/>
  <c r="E25" i="121"/>
  <c r="E27" i="121"/>
  <c r="E47" i="121" s="1"/>
  <c r="H29" i="121"/>
  <c r="F40" i="9"/>
  <c r="F39" i="9"/>
  <c r="F37" i="9"/>
  <c r="F22" i="9"/>
  <c r="F17" i="9"/>
  <c r="F13" i="9"/>
  <c r="F55" i="9"/>
  <c r="F46" i="9"/>
  <c r="C24" i="9" l="1"/>
  <c r="F41" i="9"/>
  <c r="E52" i="121"/>
  <c r="E50" i="121"/>
  <c r="E51" i="121"/>
  <c r="C48" i="9"/>
  <c r="C53" i="9" s="1"/>
  <c r="F29" i="9"/>
  <c r="I48" i="122"/>
  <c r="F42" i="122"/>
  <c r="F41" i="122"/>
  <c r="F13" i="122"/>
  <c r="F22" i="122"/>
  <c r="C24" i="122" s="1"/>
  <c r="F17" i="122"/>
  <c r="C25" i="9" l="1"/>
  <c r="C27" i="9" s="1"/>
  <c r="C47" i="9" s="1"/>
  <c r="C26" i="122"/>
  <c r="B26" i="122" s="1"/>
  <c r="B27" i="122" s="1"/>
  <c r="C27" i="122"/>
  <c r="C47" i="122" s="1"/>
  <c r="F29" i="122"/>
  <c r="C40" i="119"/>
  <c r="C50" i="119" s="1"/>
  <c r="C55" i="119"/>
  <c r="C53" i="119"/>
  <c r="C52" i="119"/>
  <c r="C51" i="119"/>
  <c r="C37" i="119"/>
  <c r="C33" i="119"/>
  <c r="C29" i="119"/>
  <c r="C24" i="119"/>
  <c r="C27" i="119" s="1"/>
  <c r="C16" i="119"/>
  <c r="C17" i="119" s="1"/>
  <c r="C13" i="119"/>
  <c r="C51" i="9" l="1"/>
  <c r="C50" i="9"/>
  <c r="C52" i="9"/>
  <c r="B50" i="122"/>
  <c r="B47" i="122"/>
  <c r="C50" i="122"/>
  <c r="C52" i="122"/>
  <c r="C51" i="122"/>
  <c r="C55" i="122"/>
  <c r="C34" i="119"/>
  <c r="I40" i="138"/>
  <c r="I41" i="138" s="1"/>
  <c r="I55" i="138" s="1"/>
  <c r="J10" i="138"/>
  <c r="B55" i="122" l="1"/>
  <c r="B51" i="122"/>
  <c r="B52" i="122"/>
  <c r="I53" i="138"/>
  <c r="I52" i="138"/>
  <c r="I51" i="138"/>
  <c r="I50" i="138"/>
  <c r="I42" i="95"/>
  <c r="I40" i="95"/>
  <c r="I41" i="95" s="1"/>
  <c r="I22" i="95"/>
  <c r="F24" i="95" s="1"/>
  <c r="F27" i="95" s="1"/>
  <c r="F47" i="95" s="1"/>
  <c r="I17" i="95"/>
  <c r="C60" i="1"/>
  <c r="F55" i="95" l="1"/>
  <c r="F51" i="95"/>
  <c r="F52" i="95"/>
  <c r="F50" i="95"/>
  <c r="I29" i="95"/>
  <c r="H42" i="25"/>
  <c r="H41" i="25"/>
  <c r="H21" i="25"/>
  <c r="H16" i="25" s="1"/>
  <c r="H17" i="25" s="1"/>
  <c r="H31" i="25"/>
  <c r="G31" i="25" s="1"/>
  <c r="F31" i="25" s="1"/>
  <c r="H30" i="25"/>
  <c r="G30" i="25" s="1"/>
  <c r="F30" i="25" s="1"/>
  <c r="H29" i="25"/>
  <c r="H35" i="25"/>
  <c r="G35" i="25" s="1"/>
  <c r="F35" i="25" s="1"/>
  <c r="H36" i="25"/>
  <c r="G36" i="25" s="1"/>
  <c r="F36" i="25" s="1"/>
  <c r="H13" i="25"/>
  <c r="I60" i="1"/>
  <c r="F37" i="25" l="1"/>
  <c r="C48" i="25" s="1"/>
  <c r="C53" i="25" s="1"/>
  <c r="G37" i="25"/>
  <c r="H37" i="25"/>
  <c r="M31" i="103"/>
  <c r="M30" i="103"/>
  <c r="I31" i="103"/>
  <c r="I30" i="103"/>
  <c r="I55" i="103"/>
  <c r="I41" i="103"/>
  <c r="I37" i="103"/>
  <c r="F48" i="103" s="1"/>
  <c r="F53" i="103" s="1"/>
  <c r="M35" i="103"/>
  <c r="I22" i="103"/>
  <c r="F24" i="103" s="1"/>
  <c r="I17" i="103"/>
  <c r="I13" i="103"/>
  <c r="O60" i="1"/>
  <c r="F25" i="103" l="1"/>
  <c r="F27" i="103"/>
  <c r="F47" i="103" s="1"/>
  <c r="E48" i="25"/>
  <c r="E53" i="25" s="1"/>
  <c r="D48" i="25"/>
  <c r="D53" i="25" s="1"/>
  <c r="I29" i="103"/>
  <c r="N36" i="28"/>
  <c r="N35" i="28"/>
  <c r="J36" i="28"/>
  <c r="I36" i="28" s="1"/>
  <c r="H36" i="28" s="1"/>
  <c r="J35" i="28"/>
  <c r="I35" i="28" s="1"/>
  <c r="H35" i="28" s="1"/>
  <c r="I22" i="28"/>
  <c r="F24" i="28" s="1"/>
  <c r="I17" i="28"/>
  <c r="I40" i="28"/>
  <c r="I41" i="28" s="1"/>
  <c r="I13" i="28"/>
  <c r="J40" i="28"/>
  <c r="J41" i="28" s="1"/>
  <c r="J44" i="28"/>
  <c r="I46" i="28"/>
  <c r="F60" i="1"/>
  <c r="E60" i="1"/>
  <c r="J60" i="1"/>
  <c r="F52" i="103" l="1"/>
  <c r="F50" i="103"/>
  <c r="F51" i="103"/>
  <c r="F25" i="28"/>
  <c r="F27" i="28" s="1"/>
  <c r="F47" i="28" s="1"/>
  <c r="H37" i="28"/>
  <c r="I29" i="28"/>
  <c r="I37" i="28"/>
  <c r="I25" i="76"/>
  <c r="F48" i="28" l="1"/>
  <c r="F53" i="28" s="1"/>
  <c r="E48" i="28"/>
  <c r="E53" i="28" s="1"/>
  <c r="F50" i="28"/>
  <c r="F55" i="28"/>
  <c r="F52" i="28"/>
  <c r="F51" i="28"/>
  <c r="I27" i="76"/>
  <c r="I47" i="76" s="1"/>
  <c r="I22" i="76"/>
  <c r="I17" i="76"/>
  <c r="I13" i="76"/>
  <c r="I29" i="76" l="1"/>
  <c r="J36" i="48"/>
  <c r="I36" i="48" s="1"/>
  <c r="H36" i="48" s="1"/>
  <c r="J13" i="48"/>
  <c r="I13" i="48"/>
  <c r="I42" i="48"/>
  <c r="M12" i="48"/>
  <c r="I46" i="48"/>
  <c r="I22" i="48" l="1"/>
  <c r="F24" i="48" s="1"/>
  <c r="AE16" i="48"/>
  <c r="I40" i="48"/>
  <c r="I41" i="48" s="1"/>
  <c r="I17" i="48"/>
  <c r="AF16" i="48"/>
  <c r="F26" i="48" l="1"/>
  <c r="E26" i="48" s="1"/>
  <c r="E27" i="48" s="1"/>
  <c r="E47" i="48" s="1"/>
  <c r="F27" i="48"/>
  <c r="F47" i="48" s="1"/>
  <c r="I29" i="48"/>
  <c r="I42" i="8"/>
  <c r="I40" i="8"/>
  <c r="I41" i="8" s="1"/>
  <c r="I22" i="8"/>
  <c r="I13" i="8"/>
  <c r="F24" i="8" l="1"/>
  <c r="F27" i="8" s="1"/>
  <c r="F47" i="8" s="1"/>
  <c r="F55" i="8" s="1"/>
  <c r="E50" i="48"/>
  <c r="E55" i="48"/>
  <c r="E51" i="48"/>
  <c r="E52" i="48"/>
  <c r="F55" i="48"/>
  <c r="F50" i="48"/>
  <c r="F51" i="48"/>
  <c r="F52" i="48"/>
  <c r="I29" i="8"/>
  <c r="I17" i="8"/>
  <c r="I40" i="15"/>
  <c r="I22" i="15"/>
  <c r="F24" i="15" s="1"/>
  <c r="F27" i="15" s="1"/>
  <c r="F47" i="15" s="1"/>
  <c r="I17" i="15"/>
  <c r="I13" i="15"/>
  <c r="F51" i="8" l="1"/>
  <c r="F50" i="8"/>
  <c r="F52" i="8"/>
  <c r="F52" i="15"/>
  <c r="F50" i="15"/>
  <c r="F55" i="15"/>
  <c r="F51" i="15"/>
  <c r="I29" i="15"/>
  <c r="I42" i="83"/>
  <c r="I22" i="83"/>
  <c r="F24" i="83" s="1"/>
  <c r="F27" i="83" s="1"/>
  <c r="F47" i="83" s="1"/>
  <c r="I17" i="83"/>
  <c r="I40" i="83"/>
  <c r="I41" i="83" s="1"/>
  <c r="F52" i="83" l="1"/>
  <c r="F55" i="83"/>
  <c r="F51" i="83"/>
  <c r="F50" i="83"/>
  <c r="I29" i="83"/>
  <c r="J22" i="123"/>
  <c r="I40" i="123"/>
  <c r="I41" i="123" s="1"/>
  <c r="I22" i="123"/>
  <c r="F24" i="123" s="1"/>
  <c r="F27" i="123" s="1"/>
  <c r="F47" i="123" s="1"/>
  <c r="I17" i="123"/>
  <c r="I13" i="123"/>
  <c r="F52" i="123" l="1"/>
  <c r="F51" i="123"/>
  <c r="F55" i="123"/>
  <c r="F50" i="123"/>
  <c r="G24" i="123"/>
  <c r="G27" i="123" s="1"/>
  <c r="G47" i="123" s="1"/>
  <c r="I29" i="123"/>
  <c r="E16" i="125"/>
  <c r="E42" i="125"/>
  <c r="E41" i="125"/>
  <c r="E33" i="125"/>
  <c r="E22" i="125"/>
  <c r="E29" i="125" s="1"/>
  <c r="E13" i="125"/>
  <c r="G52" i="123" l="1"/>
  <c r="G55" i="123"/>
  <c r="G50" i="123"/>
  <c r="G51" i="123"/>
  <c r="E17" i="125"/>
  <c r="M35" i="129"/>
  <c r="L35" i="129" s="1"/>
  <c r="I22" i="129"/>
  <c r="F24" i="129" s="1"/>
  <c r="I17" i="129"/>
  <c r="I40" i="129"/>
  <c r="I41" i="129" s="1"/>
  <c r="I13" i="129"/>
  <c r="C40" i="1"/>
  <c r="F25" i="129" l="1"/>
  <c r="F27" i="129" s="1"/>
  <c r="F47" i="129" s="1"/>
  <c r="I29" i="129"/>
  <c r="I37" i="129"/>
  <c r="J41" i="137"/>
  <c r="J55" i="137" s="1"/>
  <c r="J53" i="137"/>
  <c r="M22" i="137"/>
  <c r="I24" i="137" s="1"/>
  <c r="I27" i="137" s="1"/>
  <c r="I47" i="137" s="1"/>
  <c r="M17" i="137"/>
  <c r="K10" i="137"/>
  <c r="L10" i="137" s="1"/>
  <c r="M10" i="137" s="1"/>
  <c r="C39" i="1"/>
  <c r="C38" i="1"/>
  <c r="C12" i="1"/>
  <c r="F55" i="129" l="1"/>
  <c r="F51" i="129"/>
  <c r="F52" i="129"/>
  <c r="F50" i="129"/>
  <c r="I51" i="137"/>
  <c r="I50" i="137"/>
  <c r="I55" i="137"/>
  <c r="I52" i="137"/>
  <c r="J52" i="137"/>
  <c r="J51" i="137"/>
  <c r="J50" i="137"/>
  <c r="I40" i="27"/>
  <c r="I14" i="1"/>
  <c r="I44" i="118" l="1"/>
  <c r="I40" i="118"/>
  <c r="I42" i="118"/>
  <c r="H42" i="118" s="1"/>
  <c r="I39" i="118"/>
  <c r="H39" i="118" s="1"/>
  <c r="I22" i="118"/>
  <c r="F24" i="118" s="1"/>
  <c r="F25" i="118" s="1"/>
  <c r="F27" i="118" s="1"/>
  <c r="F47" i="118" s="1"/>
  <c r="I17" i="118"/>
  <c r="I13" i="118"/>
  <c r="I46" i="118"/>
  <c r="J14" i="1"/>
  <c r="O14" i="1"/>
  <c r="C14" i="1"/>
  <c r="F14" i="1"/>
  <c r="E14" i="1"/>
  <c r="F50" i="118" l="1"/>
  <c r="F52" i="118"/>
  <c r="F55" i="118"/>
  <c r="F51" i="118"/>
  <c r="G39" i="118"/>
  <c r="G41" i="118" s="1"/>
  <c r="H41" i="118"/>
  <c r="I41" i="118"/>
  <c r="J40" i="27"/>
  <c r="J41" i="27" s="1"/>
  <c r="C6" i="1"/>
  <c r="I26" i="27" l="1"/>
  <c r="I42" i="27"/>
  <c r="H42" i="27" s="1"/>
  <c r="G42" i="27" s="1"/>
  <c r="F42" i="27" s="1"/>
  <c r="E42" i="27" s="1"/>
  <c r="I39" i="27"/>
  <c r="M32" i="27"/>
  <c r="I32" i="27"/>
  <c r="G32" i="27" s="1"/>
  <c r="G34" i="27" s="1"/>
  <c r="I37" i="27"/>
  <c r="I22" i="27"/>
  <c r="I17" i="27"/>
  <c r="I13" i="27"/>
  <c r="D42" i="27" l="1"/>
  <c r="D55" i="27" s="1"/>
  <c r="E55" i="27"/>
  <c r="F48" i="27"/>
  <c r="F24" i="27"/>
  <c r="H39" i="27"/>
  <c r="I41" i="27"/>
  <c r="I29" i="27"/>
  <c r="I34" i="27" s="1"/>
  <c r="I16" i="73"/>
  <c r="N16" i="73"/>
  <c r="M16" i="73"/>
  <c r="I33" i="73"/>
  <c r="I12" i="73"/>
  <c r="H41" i="27" l="1"/>
  <c r="G39" i="27"/>
  <c r="F26" i="27"/>
  <c r="F27" i="27" s="1"/>
  <c r="F47" i="27" s="1"/>
  <c r="E13" i="73"/>
  <c r="E46" i="73"/>
  <c r="D46" i="73" s="1"/>
  <c r="C46" i="73" s="1"/>
  <c r="I17" i="73"/>
  <c r="I22" i="73"/>
  <c r="F24" i="73" s="1"/>
  <c r="G41" i="27" l="1"/>
  <c r="F39" i="27"/>
  <c r="F41" i="27" s="1"/>
  <c r="I29" i="73"/>
  <c r="J44" i="118"/>
  <c r="J40" i="118"/>
  <c r="J41" i="118" s="1"/>
  <c r="F53" i="27" l="1"/>
  <c r="F52" i="27"/>
  <c r="F55" i="27"/>
  <c r="F51" i="27"/>
  <c r="F50" i="27"/>
  <c r="J40" i="136"/>
  <c r="J41" i="136" s="1"/>
  <c r="J55" i="136" s="1"/>
  <c r="N37" i="136"/>
  <c r="J37" i="136"/>
  <c r="F48" i="136" s="1"/>
  <c r="N17" i="136"/>
  <c r="J17" i="136"/>
  <c r="J13" i="136"/>
  <c r="K10" i="136"/>
  <c r="L10" i="136" s="1"/>
  <c r="M10" i="136" s="1"/>
  <c r="N10" i="136" s="1"/>
  <c r="I6" i="1"/>
  <c r="O6" i="1"/>
  <c r="E48" i="136" l="1"/>
  <c r="F53" i="136"/>
  <c r="J53" i="136"/>
  <c r="N29" i="136"/>
  <c r="J29" i="136"/>
  <c r="J52" i="136"/>
  <c r="J51" i="136"/>
  <c r="J50" i="136"/>
  <c r="K40" i="130"/>
  <c r="K41" i="130" s="1"/>
  <c r="E6" i="1"/>
  <c r="F6" i="1"/>
  <c r="J6" i="1"/>
  <c r="E53" i="136" l="1"/>
  <c r="D48" i="136"/>
  <c r="J40" i="130"/>
  <c r="I40" i="130"/>
  <c r="I41" i="130" s="1"/>
  <c r="H36" i="130"/>
  <c r="G36" i="130" s="1"/>
  <c r="H35" i="130"/>
  <c r="G35" i="130" s="1"/>
  <c r="G37" i="130" s="1"/>
  <c r="D48" i="130" s="1"/>
  <c r="D53" i="130" s="1"/>
  <c r="M36" i="130"/>
  <c r="L36" i="130" s="1"/>
  <c r="M35" i="130"/>
  <c r="I13" i="130"/>
  <c r="I29" i="130"/>
  <c r="D53" i="136" l="1"/>
  <c r="C48" i="136"/>
  <c r="C53" i="136" s="1"/>
  <c r="L35" i="130"/>
  <c r="H37" i="130"/>
  <c r="E48" i="130" s="1"/>
  <c r="E53" i="130" s="1"/>
  <c r="I37" i="130"/>
  <c r="D16" i="112"/>
  <c r="D17" i="112" s="1"/>
  <c r="D40" i="112"/>
  <c r="D41" i="112" s="1"/>
  <c r="D35" i="112"/>
  <c r="D36" i="112"/>
  <c r="C36" i="112" s="1"/>
  <c r="B36" i="112" s="1"/>
  <c r="D29" i="112"/>
  <c r="D13" i="112"/>
  <c r="D55" i="112"/>
  <c r="F48" i="130" l="1"/>
  <c r="F53" i="130" s="1"/>
  <c r="D37" i="112"/>
  <c r="C35" i="112"/>
  <c r="I39" i="3"/>
  <c r="I42" i="3"/>
  <c r="H42" i="3" s="1"/>
  <c r="G42" i="3" s="1"/>
  <c r="F42" i="3" s="1"/>
  <c r="I44" i="3"/>
  <c r="I16" i="3"/>
  <c r="I17" i="3" s="1"/>
  <c r="I40" i="3"/>
  <c r="I24" i="3"/>
  <c r="I29" i="3"/>
  <c r="I33" i="3"/>
  <c r="H36" i="3"/>
  <c r="G36" i="3" s="1"/>
  <c r="I13" i="3"/>
  <c r="E42" i="3" l="1"/>
  <c r="E55" i="3" s="1"/>
  <c r="F55" i="3"/>
  <c r="B35" i="112"/>
  <c r="B37" i="112" s="1"/>
  <c r="C37" i="112"/>
  <c r="I37" i="3"/>
  <c r="H35" i="3"/>
  <c r="J40" i="128"/>
  <c r="K40" i="128"/>
  <c r="I40" i="128"/>
  <c r="I41" i="128" s="1"/>
  <c r="I22" i="128"/>
  <c r="I17" i="128"/>
  <c r="I13" i="128"/>
  <c r="I37" i="128"/>
  <c r="M35" i="128"/>
  <c r="L35" i="128" s="1"/>
  <c r="F24" i="128" l="1"/>
  <c r="L37" i="128"/>
  <c r="K35" i="128"/>
  <c r="K37" i="128" s="1"/>
  <c r="M37" i="128"/>
  <c r="H37" i="3"/>
  <c r="G35" i="3"/>
  <c r="G37" i="3" s="1"/>
  <c r="M32" i="128"/>
  <c r="I32" i="128"/>
  <c r="I29" i="128"/>
  <c r="F25" i="128" l="1"/>
  <c r="F27" i="128" s="1"/>
  <c r="F47" i="128" s="1"/>
  <c r="F48" i="3"/>
  <c r="F53" i="3" s="1"/>
  <c r="E48" i="3"/>
  <c r="E53" i="3" s="1"/>
  <c r="I40" i="120"/>
  <c r="I41" i="120" s="1"/>
  <c r="I37" i="120"/>
  <c r="P22" i="120"/>
  <c r="O22" i="120"/>
  <c r="N22" i="120"/>
  <c r="M22" i="120"/>
  <c r="L22" i="120"/>
  <c r="K22" i="120"/>
  <c r="J22" i="120"/>
  <c r="I22" i="120"/>
  <c r="I17" i="120"/>
  <c r="I13" i="120"/>
  <c r="F55" i="128" l="1"/>
  <c r="F51" i="128"/>
  <c r="F52" i="128"/>
  <c r="F50" i="128"/>
  <c r="F48" i="120"/>
  <c r="F53" i="120" s="1"/>
  <c r="I29" i="120"/>
  <c r="F24" i="120"/>
  <c r="I41" i="13"/>
  <c r="I13" i="13"/>
  <c r="I32" i="13"/>
  <c r="M32" i="13"/>
  <c r="F24" i="13"/>
  <c r="F27" i="13" s="1"/>
  <c r="F47" i="13" s="1"/>
  <c r="I17" i="13"/>
  <c r="I37" i="13"/>
  <c r="F48" i="13" s="1"/>
  <c r="F53" i="13" s="1"/>
  <c r="I55" i="13"/>
  <c r="I46" i="13"/>
  <c r="F25" i="120" l="1"/>
  <c r="F27" i="120" s="1"/>
  <c r="F47" i="120" s="1"/>
  <c r="F52" i="13"/>
  <c r="F50" i="13"/>
  <c r="F51" i="13"/>
  <c r="I29" i="13"/>
  <c r="H25" i="120"/>
  <c r="H27" i="120" s="1"/>
  <c r="H47" i="120" s="1"/>
  <c r="G40" i="81"/>
  <c r="G41" i="81" s="1"/>
  <c r="G31" i="81"/>
  <c r="G30" i="81"/>
  <c r="G32" i="81"/>
  <c r="G37" i="81"/>
  <c r="G22" i="81"/>
  <c r="G17" i="81"/>
  <c r="G13" i="81"/>
  <c r="H22" i="81"/>
  <c r="G55" i="81"/>
  <c r="G46" i="81"/>
  <c r="G29" i="81" l="1"/>
  <c r="D24" i="81"/>
  <c r="D25" i="81" s="1"/>
  <c r="D27" i="81" s="1"/>
  <c r="D47" i="81" s="1"/>
  <c r="E24" i="81"/>
  <c r="E25" i="81" s="1"/>
  <c r="E27" i="81" s="1"/>
  <c r="E47" i="81" s="1"/>
  <c r="D48" i="81"/>
  <c r="D53" i="81" s="1"/>
  <c r="F55" i="120"/>
  <c r="F50" i="120"/>
  <c r="F51" i="120"/>
  <c r="F52" i="120"/>
  <c r="H51" i="120"/>
  <c r="H55" i="120"/>
  <c r="H52" i="120"/>
  <c r="H50" i="120"/>
  <c r="I36" i="108"/>
  <c r="I35" i="108"/>
  <c r="I30" i="108"/>
  <c r="I46" i="108"/>
  <c r="M12" i="108"/>
  <c r="M13" i="108" s="1"/>
  <c r="I41" i="108"/>
  <c r="I37" i="108"/>
  <c r="I21" i="108"/>
  <c r="I22" i="108" s="1"/>
  <c r="F24" i="108" s="1"/>
  <c r="F25" i="108" s="1"/>
  <c r="F27" i="108" s="1"/>
  <c r="F47" i="108" s="1"/>
  <c r="I17" i="108"/>
  <c r="F55" i="108" l="1"/>
  <c r="F51" i="108"/>
  <c r="F52" i="108"/>
  <c r="F50" i="108"/>
  <c r="F48" i="108"/>
  <c r="F53" i="108" s="1"/>
  <c r="E52" i="81"/>
  <c r="E51" i="81"/>
  <c r="E50" i="81"/>
  <c r="D51" i="81"/>
  <c r="D52" i="81"/>
  <c r="D50" i="81"/>
  <c r="I29" i="108"/>
  <c r="I13" i="108"/>
  <c r="M30" i="47"/>
  <c r="I30" i="47"/>
  <c r="G30" i="47" s="1"/>
  <c r="L41" i="47"/>
  <c r="J40" i="47"/>
  <c r="I40" i="47"/>
  <c r="I32" i="47"/>
  <c r="M32" i="47"/>
  <c r="I37" i="47"/>
  <c r="I29" i="47"/>
  <c r="I13" i="47"/>
  <c r="I16" i="47"/>
  <c r="I17" i="47" s="1"/>
  <c r="I21" i="47"/>
  <c r="F48" i="47" l="1"/>
  <c r="F53" i="47" s="1"/>
  <c r="I41" i="47"/>
  <c r="H40" i="47"/>
  <c r="H41" i="47" s="1"/>
  <c r="I40" i="57"/>
  <c r="I41" i="57" s="1"/>
  <c r="I42" i="57"/>
  <c r="I37" i="57"/>
  <c r="F48" i="57" s="1"/>
  <c r="F53" i="57" s="1"/>
  <c r="I29" i="57"/>
  <c r="I21" i="57"/>
  <c r="I33" i="57" s="1"/>
  <c r="I17" i="57"/>
  <c r="I46" i="57"/>
  <c r="I13" i="57"/>
  <c r="K36" i="131" l="1"/>
  <c r="K35" i="131"/>
  <c r="L37" i="131"/>
  <c r="N37" i="131"/>
  <c r="I41" i="131"/>
  <c r="J46" i="131"/>
  <c r="I46" i="131"/>
  <c r="M32" i="131"/>
  <c r="K32" i="131" s="1"/>
  <c r="G32" i="131"/>
  <c r="M37" i="131"/>
  <c r="J37" i="131"/>
  <c r="I37" i="131"/>
  <c r="F48" i="131" s="1"/>
  <c r="F53" i="131" s="1"/>
  <c r="I17" i="131"/>
  <c r="I21" i="131"/>
  <c r="I29" i="131"/>
  <c r="I24" i="131"/>
  <c r="I13" i="131"/>
  <c r="K37" i="131" l="1"/>
  <c r="H48" i="131"/>
  <c r="H53" i="131" s="1"/>
  <c r="G48" i="131"/>
  <c r="G53" i="131" s="1"/>
  <c r="I26" i="131"/>
  <c r="I27" i="131" s="1"/>
  <c r="I47" i="131" s="1"/>
  <c r="I41" i="133"/>
  <c r="J46" i="133"/>
  <c r="I46" i="133" s="1"/>
  <c r="H46" i="133" s="1"/>
  <c r="I25" i="133"/>
  <c r="I22" i="133"/>
  <c r="I29" i="133" s="1"/>
  <c r="I17" i="133"/>
  <c r="I13" i="133"/>
  <c r="I50" i="131" l="1"/>
  <c r="I51" i="131"/>
  <c r="I52" i="131"/>
  <c r="I55" i="131"/>
  <c r="I27" i="133"/>
  <c r="I47" i="133" s="1"/>
  <c r="I40" i="63"/>
  <c r="I41" i="63" s="1"/>
  <c r="J37" i="63"/>
  <c r="F48" i="63" s="1"/>
  <c r="N36" i="63"/>
  <c r="I37" i="63"/>
  <c r="M21" i="63"/>
  <c r="I17" i="63"/>
  <c r="I29" i="63"/>
  <c r="I24" i="63"/>
  <c r="I25" i="63" s="1"/>
  <c r="I13" i="63"/>
  <c r="I55" i="63"/>
  <c r="E48" i="63" l="1"/>
  <c r="F53" i="63"/>
  <c r="I50" i="133"/>
  <c r="I55" i="133"/>
  <c r="I48" i="133"/>
  <c r="I52" i="133"/>
  <c r="I51" i="133"/>
  <c r="I27" i="63"/>
  <c r="I47" i="63" s="1"/>
  <c r="I50" i="63" s="1"/>
  <c r="I41" i="72"/>
  <c r="I22" i="72"/>
  <c r="I17" i="72"/>
  <c r="I13" i="72"/>
  <c r="I55" i="72"/>
  <c r="I46" i="72"/>
  <c r="I29" i="72" l="1"/>
  <c r="I35" i="72" s="1"/>
  <c r="I37" i="72" s="1"/>
  <c r="F48" i="72" s="1"/>
  <c r="F53" i="72" s="1"/>
  <c r="F24" i="72"/>
  <c r="F27" i="72" s="1"/>
  <c r="F47" i="72" s="1"/>
  <c r="I52" i="63"/>
  <c r="D48" i="63"/>
  <c r="E53" i="63"/>
  <c r="I51" i="63"/>
  <c r="H48" i="133"/>
  <c r="H53" i="133" s="1"/>
  <c r="I53" i="133"/>
  <c r="B41" i="107"/>
  <c r="B40" i="107" s="1"/>
  <c r="B16" i="107"/>
  <c r="B21" i="107" s="1"/>
  <c r="F16" i="107"/>
  <c r="B29" i="107"/>
  <c r="F36" i="107"/>
  <c r="F35" i="107"/>
  <c r="B36" i="107"/>
  <c r="B12" i="107"/>
  <c r="B17" i="107" s="1"/>
  <c r="F12" i="107"/>
  <c r="D53" i="63" l="1"/>
  <c r="C48" i="63"/>
  <c r="C53" i="63" s="1"/>
  <c r="F50" i="72"/>
  <c r="F51" i="72"/>
  <c r="F52" i="72"/>
  <c r="B13" i="107"/>
  <c r="G31" i="68"/>
  <c r="F31" i="68" s="1"/>
  <c r="E31" i="68" s="1"/>
  <c r="G40" i="68"/>
  <c r="G41" i="68" s="1"/>
  <c r="G16" i="68"/>
  <c r="G17" i="68" s="1"/>
  <c r="G32" i="68"/>
  <c r="F32" i="68" s="1"/>
  <c r="E32" i="68" s="1"/>
  <c r="G29" i="68"/>
  <c r="G35" i="68"/>
  <c r="F35" i="68" s="1"/>
  <c r="G36" i="68"/>
  <c r="F36" i="68" s="1"/>
  <c r="E36" i="68" s="1"/>
  <c r="G13" i="68"/>
  <c r="G55" i="68"/>
  <c r="G21" i="68" l="1"/>
  <c r="G33" i="68" s="1"/>
  <c r="E35" i="68"/>
  <c r="F37" i="68"/>
  <c r="G37" i="68"/>
  <c r="J39" i="97"/>
  <c r="J40" i="97" s="1"/>
  <c r="J36" i="97"/>
  <c r="I36" i="97" s="1"/>
  <c r="J35" i="97"/>
  <c r="I35" i="97" s="1"/>
  <c r="H36" i="97" l="1"/>
  <c r="H35" i="97"/>
  <c r="H37" i="97" s="1"/>
  <c r="E48" i="97" s="1"/>
  <c r="E37" i="68"/>
  <c r="I37" i="97"/>
  <c r="J37" i="97"/>
  <c r="J41" i="116"/>
  <c r="B48" i="68" l="1"/>
  <c r="B53" i="68" s="1"/>
  <c r="D48" i="68"/>
  <c r="D53" i="68" s="1"/>
  <c r="C48" i="68"/>
  <c r="C53" i="68" s="1"/>
  <c r="F48" i="97"/>
  <c r="G48" i="97"/>
  <c r="G53" i="97" s="1"/>
  <c r="I40" i="65"/>
  <c r="M32" i="65"/>
  <c r="I37" i="65"/>
  <c r="F48" i="65" s="1"/>
  <c r="F53" i="65" s="1"/>
  <c r="I22" i="65"/>
  <c r="I17" i="65"/>
  <c r="I13" i="65"/>
  <c r="I46" i="65"/>
  <c r="I29" i="65" l="1"/>
  <c r="F24" i="65"/>
  <c r="F25" i="65" s="1"/>
  <c r="F27" i="65" s="1"/>
  <c r="F47" i="65" s="1"/>
  <c r="I34" i="65"/>
  <c r="G40" i="9"/>
  <c r="G41" i="9" s="1"/>
  <c r="G39" i="9"/>
  <c r="G22" i="9"/>
  <c r="D24" i="9" s="1"/>
  <c r="G17" i="9"/>
  <c r="G37" i="9"/>
  <c r="D48" i="9" s="1"/>
  <c r="D53" i="9" s="1"/>
  <c r="H37" i="9"/>
  <c r="G13" i="9"/>
  <c r="G55" i="9"/>
  <c r="G46" i="9"/>
  <c r="D25" i="9" l="1"/>
  <c r="D27" i="9"/>
  <c r="D47" i="9" s="1"/>
  <c r="F52" i="65"/>
  <c r="F55" i="65"/>
  <c r="F50" i="65"/>
  <c r="F51" i="65"/>
  <c r="G29" i="9"/>
  <c r="E48" i="9"/>
  <c r="E53" i="9" s="1"/>
  <c r="D51" i="9" l="1"/>
  <c r="D50" i="9"/>
  <c r="D52" i="9"/>
  <c r="J37" i="116"/>
  <c r="J22" i="116"/>
  <c r="G24" i="116" s="1"/>
  <c r="J17" i="116"/>
  <c r="J13" i="116"/>
  <c r="G48" i="116" l="1"/>
  <c r="G53" i="116" s="1"/>
  <c r="G26" i="116"/>
  <c r="G27" i="116" s="1"/>
  <c r="G47" i="116" s="1"/>
  <c r="J29" i="116"/>
  <c r="K46" i="116"/>
  <c r="G51" i="116" l="1"/>
  <c r="G52" i="116"/>
  <c r="G50" i="116"/>
  <c r="N12" i="132"/>
  <c r="L12" i="132"/>
  <c r="L17" i="132" s="1"/>
  <c r="I40" i="132"/>
  <c r="I41" i="132" s="1"/>
  <c r="I27" i="132"/>
  <c r="I47" i="132" s="1"/>
  <c r="I50" i="132" s="1"/>
  <c r="I22" i="132"/>
  <c r="M22" i="132"/>
  <c r="M17" i="132"/>
  <c r="I12" i="132"/>
  <c r="E13" i="132" s="1"/>
  <c r="I29" i="132" l="1"/>
  <c r="E24" i="132"/>
  <c r="J13" i="132"/>
  <c r="J46" i="132"/>
  <c r="I51" i="132"/>
  <c r="I55" i="132"/>
  <c r="I52" i="132"/>
  <c r="I13" i="132"/>
  <c r="H12" i="132"/>
  <c r="I17" i="132"/>
  <c r="I46" i="132"/>
  <c r="N31" i="121"/>
  <c r="M31" i="121" s="1"/>
  <c r="L31" i="121" s="1"/>
  <c r="K31" i="121" s="1"/>
  <c r="N30" i="121"/>
  <c r="M30" i="121"/>
  <c r="L30" i="121" s="1"/>
  <c r="K30" i="121" s="1"/>
  <c r="N32" i="121"/>
  <c r="M32" i="121" s="1"/>
  <c r="L32" i="121" s="1"/>
  <c r="K32" i="121" s="1"/>
  <c r="M35" i="121"/>
  <c r="L35" i="121" s="1"/>
  <c r="K35" i="121" s="1"/>
  <c r="I35" i="121"/>
  <c r="H35" i="121" s="1"/>
  <c r="I41" i="121"/>
  <c r="I17" i="121"/>
  <c r="F24" i="121"/>
  <c r="N36" i="121"/>
  <c r="M36" i="121" s="1"/>
  <c r="L36" i="121" s="1"/>
  <c r="K36" i="121" s="1"/>
  <c r="I13" i="121"/>
  <c r="D24" i="132" l="1"/>
  <c r="C24" i="132" s="1"/>
  <c r="E25" i="132"/>
  <c r="E27" i="132" s="1"/>
  <c r="E47" i="132" s="1"/>
  <c r="F46" i="132"/>
  <c r="D13" i="132"/>
  <c r="E46" i="132"/>
  <c r="F25" i="121"/>
  <c r="F27" i="121" s="1"/>
  <c r="F47" i="121" s="1"/>
  <c r="G35" i="121"/>
  <c r="G46" i="132"/>
  <c r="H13" i="132"/>
  <c r="H17" i="132"/>
  <c r="H46" i="132"/>
  <c r="I29" i="121"/>
  <c r="C25" i="132" l="1"/>
  <c r="C27" i="132"/>
  <c r="C47" i="132" s="1"/>
  <c r="E55" i="132"/>
  <c r="E51" i="132"/>
  <c r="E52" i="132"/>
  <c r="E50" i="132"/>
  <c r="D25" i="132"/>
  <c r="D27" i="132" s="1"/>
  <c r="D47" i="132" s="1"/>
  <c r="F52" i="121"/>
  <c r="F50" i="121"/>
  <c r="F51" i="121"/>
  <c r="I55" i="121"/>
  <c r="I46" i="121"/>
  <c r="C50" i="132" l="1"/>
  <c r="C51" i="132"/>
  <c r="C52" i="132"/>
  <c r="C55" i="132"/>
  <c r="D52" i="132"/>
  <c r="D55" i="132"/>
  <c r="D50" i="132"/>
  <c r="D51" i="132"/>
  <c r="I41" i="26"/>
  <c r="I17" i="26"/>
  <c r="I46" i="26"/>
  <c r="I24" i="26"/>
  <c r="I25" i="26" s="1"/>
  <c r="I29" i="26"/>
  <c r="I13" i="26"/>
  <c r="I27" i="26" l="1"/>
  <c r="I47" i="26" s="1"/>
  <c r="I55" i="26" s="1"/>
  <c r="AF16" i="45"/>
  <c r="AF18" i="45" s="1"/>
  <c r="I14" i="45" s="1"/>
  <c r="M40" i="45"/>
  <c r="N20" i="45"/>
  <c r="M20" i="45" s="1"/>
  <c r="L20" i="45" s="1"/>
  <c r="K20" i="45" s="1"/>
  <c r="N16" i="45"/>
  <c r="M16" i="45" s="1"/>
  <c r="L16" i="45" s="1"/>
  <c r="I40" i="45"/>
  <c r="I41" i="45" s="1"/>
  <c r="I37" i="45"/>
  <c r="F48" i="45" s="1"/>
  <c r="F53" i="45" s="1"/>
  <c r="I13" i="45"/>
  <c r="I17" i="45" l="1"/>
  <c r="I52" i="26"/>
  <c r="I50" i="26"/>
  <c r="I51" i="26"/>
  <c r="I40" i="82"/>
  <c r="I41" i="82" s="1"/>
  <c r="I55" i="82"/>
  <c r="I47" i="82"/>
  <c r="I22" i="82"/>
  <c r="F24" i="82" s="1"/>
  <c r="F25" i="82" s="1"/>
  <c r="I17" i="82"/>
  <c r="I13" i="82"/>
  <c r="I29" i="82" l="1"/>
  <c r="I52" i="82"/>
  <c r="G17" i="45"/>
  <c r="H17" i="45"/>
  <c r="I50" i="82"/>
  <c r="I51" i="82"/>
  <c r="L46" i="98"/>
  <c r="J46" i="98"/>
  <c r="K46" i="98"/>
  <c r="J41" i="98"/>
  <c r="J40" i="98" s="1"/>
  <c r="J36" i="98"/>
  <c r="I36" i="98" s="1"/>
  <c r="H36" i="98" s="1"/>
  <c r="J35" i="98"/>
  <c r="I35" i="98" s="1"/>
  <c r="N35" i="98"/>
  <c r="M35" i="98" s="1"/>
  <c r="J22" i="98"/>
  <c r="J17" i="98"/>
  <c r="J13" i="98"/>
  <c r="H35" i="98" l="1"/>
  <c r="H37" i="98" s="1"/>
  <c r="I37" i="98"/>
  <c r="J29" i="98"/>
  <c r="G24" i="98"/>
  <c r="G27" i="98" s="1"/>
  <c r="G47" i="98" s="1"/>
  <c r="J37" i="98"/>
  <c r="O36" i="19"/>
  <c r="N36" i="19" s="1"/>
  <c r="M36" i="19" s="1"/>
  <c r="L36" i="19" s="1"/>
  <c r="K36" i="19"/>
  <c r="J36" i="19" s="1"/>
  <c r="I36" i="19" s="1"/>
  <c r="H36" i="19" s="1"/>
  <c r="J35" i="19"/>
  <c r="I35" i="19" s="1"/>
  <c r="N35" i="19"/>
  <c r="M35" i="19" s="1"/>
  <c r="L35" i="19" s="1"/>
  <c r="F48" i="98" l="1"/>
  <c r="F53" i="98" s="1"/>
  <c r="E48" i="98"/>
  <c r="E53" i="98" s="1"/>
  <c r="H35" i="19"/>
  <c r="H37" i="19" s="1"/>
  <c r="I37" i="19"/>
  <c r="G50" i="98"/>
  <c r="G51" i="98"/>
  <c r="G52" i="98"/>
  <c r="G55" i="98"/>
  <c r="G48" i="98"/>
  <c r="G53" i="98" s="1"/>
  <c r="N40" i="19"/>
  <c r="M40" i="19"/>
  <c r="L40" i="19"/>
  <c r="K40" i="19"/>
  <c r="J40" i="19"/>
  <c r="J39" i="19"/>
  <c r="J30" i="19"/>
  <c r="I30" i="19" s="1"/>
  <c r="H30" i="19" s="1"/>
  <c r="J31" i="19"/>
  <c r="I31" i="19" s="1"/>
  <c r="H31" i="19" s="1"/>
  <c r="N31" i="19"/>
  <c r="M31" i="19" s="1"/>
  <c r="N30" i="19"/>
  <c r="M30" i="19" s="1"/>
  <c r="J37" i="19"/>
  <c r="J22" i="19"/>
  <c r="G24" i="19" s="1"/>
  <c r="J17" i="19"/>
  <c r="J13" i="19"/>
  <c r="J55" i="19"/>
  <c r="J46" i="19"/>
  <c r="F48" i="19" l="1"/>
  <c r="F53" i="19" s="1"/>
  <c r="E48" i="19"/>
  <c r="E53" i="19" s="1"/>
  <c r="G48" i="19"/>
  <c r="G53" i="19" s="1"/>
  <c r="G25" i="19"/>
  <c r="G27" i="19" s="1"/>
  <c r="G47" i="19" s="1"/>
  <c r="J41" i="19"/>
  <c r="J29" i="19"/>
  <c r="D46" i="119"/>
  <c r="D40" i="119"/>
  <c r="D50" i="119" s="1"/>
  <c r="D37" i="119"/>
  <c r="D33" i="119"/>
  <c r="D29" i="119"/>
  <c r="D34" i="119" s="1"/>
  <c r="D24" i="119"/>
  <c r="D27" i="119" s="1"/>
  <c r="D21" i="119"/>
  <c r="D16" i="119" s="1"/>
  <c r="D17" i="119" s="1"/>
  <c r="D13" i="119"/>
  <c r="C116" i="1"/>
  <c r="G55" i="19" l="1"/>
  <c r="G51" i="19"/>
  <c r="G50" i="19"/>
  <c r="G52" i="19"/>
  <c r="D41" i="119"/>
  <c r="J31" i="111"/>
  <c r="N31" i="111"/>
  <c r="N32" i="111"/>
  <c r="J37" i="111"/>
  <c r="J40" i="111"/>
  <c r="J41" i="111" s="1"/>
  <c r="J13" i="111"/>
  <c r="J22" i="111"/>
  <c r="G24" i="111" s="1"/>
  <c r="J17" i="111"/>
  <c r="G26" i="111" l="1"/>
  <c r="G27" i="111"/>
  <c r="G47" i="111" s="1"/>
  <c r="D53" i="119"/>
  <c r="D52" i="119"/>
  <c r="D55" i="119"/>
  <c r="D51" i="119"/>
  <c r="J29" i="111"/>
  <c r="J22" i="89"/>
  <c r="G24" i="89" s="1"/>
  <c r="G25" i="89" s="1"/>
  <c r="G27" i="89" s="1"/>
  <c r="G47" i="89" s="1"/>
  <c r="J17" i="89"/>
  <c r="J30" i="89"/>
  <c r="N30" i="89"/>
  <c r="N31" i="89"/>
  <c r="J31" i="89"/>
  <c r="N32" i="89"/>
  <c r="J37" i="89"/>
  <c r="G48" i="89" s="1"/>
  <c r="G53" i="89" s="1"/>
  <c r="J13" i="89"/>
  <c r="G51" i="89" l="1"/>
  <c r="G52" i="89"/>
  <c r="G50" i="89"/>
  <c r="J29" i="89"/>
  <c r="G55" i="111"/>
  <c r="G52" i="111"/>
  <c r="G50" i="111"/>
  <c r="G51" i="111"/>
  <c r="I12" i="58"/>
  <c r="I22" i="58"/>
  <c r="F24" i="58" s="1"/>
  <c r="M36" i="58"/>
  <c r="L36" i="58" s="1"/>
  <c r="K36" i="58" s="1"/>
  <c r="M35" i="58"/>
  <c r="L35" i="58" s="1"/>
  <c r="I36" i="58"/>
  <c r="H36" i="58" s="1"/>
  <c r="G36" i="58" s="1"/>
  <c r="I13" i="58"/>
  <c r="I55" i="58"/>
  <c r="F25" i="58" l="1"/>
  <c r="F27" i="58"/>
  <c r="F47" i="58" s="1"/>
  <c r="I17" i="58"/>
  <c r="E13" i="58"/>
  <c r="M37" i="58"/>
  <c r="K35" i="58"/>
  <c r="K37" i="58" s="1"/>
  <c r="L37" i="58"/>
  <c r="I29" i="58"/>
  <c r="J40" i="102"/>
  <c r="J41" i="102" s="1"/>
  <c r="K12" i="102"/>
  <c r="I40" i="102"/>
  <c r="I41" i="102" s="1"/>
  <c r="K27" i="102"/>
  <c r="J46" i="102"/>
  <c r="I46" i="102" s="1"/>
  <c r="H46" i="102" s="1"/>
  <c r="F52" i="58" l="1"/>
  <c r="F51" i="58"/>
  <c r="F50" i="58"/>
  <c r="G46" i="102"/>
  <c r="F46" i="102" s="1"/>
  <c r="E46" i="102" s="1"/>
  <c r="D46" i="102" s="1"/>
  <c r="K17" i="102"/>
  <c r="G13" i="102"/>
  <c r="K40" i="102"/>
  <c r="K41" i="102" s="1"/>
  <c r="O31" i="102"/>
  <c r="O30" i="102"/>
  <c r="O35" i="102"/>
  <c r="O12" i="102"/>
  <c r="K13" i="102"/>
  <c r="M22" i="102"/>
  <c r="I22" i="102"/>
  <c r="I17" i="102"/>
  <c r="I29" i="102"/>
  <c r="I32" i="102"/>
  <c r="M32" i="102"/>
  <c r="I33" i="102"/>
  <c r="I37" i="102"/>
  <c r="I13" i="102"/>
  <c r="J17" i="126" l="1"/>
  <c r="N22" i="126"/>
  <c r="M22" i="126" s="1"/>
  <c r="L22" i="126" s="1"/>
  <c r="N12" i="126"/>
  <c r="J37" i="126"/>
  <c r="G48" i="126" s="1"/>
  <c r="G53" i="126" s="1"/>
  <c r="J27" i="126"/>
  <c r="J47" i="126" s="1"/>
  <c r="J40" i="126"/>
  <c r="J41" i="126" s="1"/>
  <c r="J53" i="126" s="1"/>
  <c r="I21" i="126" l="1"/>
  <c r="I33" i="126" s="1"/>
  <c r="I29" i="126"/>
  <c r="I34" i="126" s="1"/>
  <c r="J21" i="126"/>
  <c r="J33" i="126" s="1"/>
  <c r="J13" i="126"/>
  <c r="M12" i="126"/>
  <c r="J29" i="126"/>
  <c r="J52" i="126"/>
  <c r="J55" i="126"/>
  <c r="J51" i="126"/>
  <c r="J50" i="126"/>
  <c r="J42" i="114"/>
  <c r="N30" i="114"/>
  <c r="N32" i="114"/>
  <c r="J41" i="114"/>
  <c r="J37" i="114"/>
  <c r="G48" i="114" s="1"/>
  <c r="G53" i="114" s="1"/>
  <c r="J22" i="114"/>
  <c r="G24" i="114" s="1"/>
  <c r="G25" i="114" s="1"/>
  <c r="J17" i="114"/>
  <c r="J13" i="114"/>
  <c r="G27" i="114" l="1"/>
  <c r="G47" i="114" s="1"/>
  <c r="G52" i="114" s="1"/>
  <c r="F25" i="114"/>
  <c r="F27" i="114" s="1"/>
  <c r="F47" i="114" s="1"/>
  <c r="G51" i="114"/>
  <c r="G50" i="114"/>
  <c r="G55" i="114"/>
  <c r="L12" i="126"/>
  <c r="H13" i="126" s="1"/>
  <c r="I13" i="126"/>
  <c r="J34" i="126"/>
  <c r="J29" i="114"/>
  <c r="H21" i="126"/>
  <c r="H33" i="126" s="1"/>
  <c r="H29" i="126"/>
  <c r="H34" i="126" s="1"/>
  <c r="H24" i="126"/>
  <c r="H25" i="126" s="1"/>
  <c r="H27" i="126" s="1"/>
  <c r="H47" i="126" s="1"/>
  <c r="J41" i="54"/>
  <c r="J55" i="54"/>
  <c r="J46" i="54"/>
  <c r="J37" i="54"/>
  <c r="G48" i="54" s="1"/>
  <c r="G53" i="54" s="1"/>
  <c r="J22" i="54"/>
  <c r="G24" i="54" s="1"/>
  <c r="J17" i="54"/>
  <c r="J13" i="54"/>
  <c r="F51" i="114" l="1"/>
  <c r="F52" i="114"/>
  <c r="F50" i="114"/>
  <c r="F55" i="114"/>
  <c r="G25" i="54"/>
  <c r="G27" i="54"/>
  <c r="J29" i="54"/>
  <c r="H50" i="126"/>
  <c r="H55" i="126"/>
  <c r="H52" i="126"/>
  <c r="H51" i="126"/>
  <c r="I40" i="135"/>
  <c r="H40" i="135" s="1"/>
  <c r="L37" i="135"/>
  <c r="H48" i="135" s="1"/>
  <c r="J10" i="135"/>
  <c r="K10" i="135" s="1"/>
  <c r="L10" i="135" s="1"/>
  <c r="G47" i="54" l="1"/>
  <c r="H41" i="135"/>
  <c r="H50" i="135"/>
  <c r="I41" i="135"/>
  <c r="I51" i="135" s="1"/>
  <c r="I50" i="135"/>
  <c r="L29" i="135"/>
  <c r="J37" i="28"/>
  <c r="J46" i="28"/>
  <c r="J25" i="28"/>
  <c r="J26" i="28" s="1"/>
  <c r="J22" i="28"/>
  <c r="G24" i="28" s="1"/>
  <c r="G26" i="28" s="1"/>
  <c r="G27" i="28" s="1"/>
  <c r="G47" i="28" s="1"/>
  <c r="J17" i="28"/>
  <c r="J13" i="28"/>
  <c r="K40" i="28"/>
  <c r="K41" i="28" s="1"/>
  <c r="J116" i="1"/>
  <c r="E116" i="1"/>
  <c r="I116" i="1"/>
  <c r="O116" i="1"/>
  <c r="I52" i="135" l="1"/>
  <c r="G52" i="54"/>
  <c r="G51" i="54"/>
  <c r="G50" i="54"/>
  <c r="G55" i="28"/>
  <c r="G51" i="28"/>
  <c r="G52" i="28"/>
  <c r="G50" i="28"/>
  <c r="J27" i="28"/>
  <c r="J47" i="28" s="1"/>
  <c r="J55" i="28" s="1"/>
  <c r="I53" i="135"/>
  <c r="I55" i="135"/>
  <c r="J29" i="28"/>
  <c r="H51" i="135"/>
  <c r="H55" i="135"/>
  <c r="H52" i="135"/>
  <c r="G48" i="28"/>
  <c r="G53" i="28" s="1"/>
  <c r="H53" i="135"/>
  <c r="D36" i="101"/>
  <c r="B40" i="101"/>
  <c r="B41" i="101" s="1"/>
  <c r="B36" i="101"/>
  <c r="B37" i="101" s="1"/>
  <c r="B22" i="101"/>
  <c r="B29" i="101" s="1"/>
  <c r="B34" i="101" s="1"/>
  <c r="B17" i="101"/>
  <c r="B13" i="101"/>
  <c r="F116" i="1"/>
  <c r="J50" i="28" l="1"/>
  <c r="J51" i="28"/>
  <c r="J52" i="28"/>
  <c r="J32" i="113"/>
  <c r="J40" i="113"/>
  <c r="J37" i="113"/>
  <c r="G48" i="113" s="1"/>
  <c r="G53" i="113" s="1"/>
  <c r="J22" i="113"/>
  <c r="J17" i="113"/>
  <c r="J13" i="113"/>
  <c r="J46" i="113"/>
  <c r="G24" i="113" l="1"/>
  <c r="G25" i="113"/>
  <c r="G27" i="113" s="1"/>
  <c r="G47" i="113" s="1"/>
  <c r="J29" i="113"/>
  <c r="Z17" i="20"/>
  <c r="Z18" i="20"/>
  <c r="AA17" i="20"/>
  <c r="AA18" i="20"/>
  <c r="G50" i="113" l="1"/>
  <c r="G52" i="113"/>
  <c r="G51" i="113"/>
  <c r="AB18" i="20"/>
  <c r="Z19" i="20"/>
  <c r="Z16" i="20"/>
  <c r="AB16" i="20" s="1"/>
  <c r="Z15" i="20"/>
  <c r="AC15" i="20" s="1"/>
  <c r="AA20" i="20"/>
  <c r="AB20" i="20" s="1"/>
  <c r="AA19" i="20"/>
  <c r="AA21" i="20" s="1"/>
  <c r="AB17" i="20"/>
  <c r="AB15" i="20"/>
  <c r="H44" i="20"/>
  <c r="H40" i="20"/>
  <c r="H41" i="20" s="1"/>
  <c r="H35" i="20"/>
  <c r="G35" i="20" s="1"/>
  <c r="H36" i="20"/>
  <c r="G36" i="20" s="1"/>
  <c r="F36" i="20" s="1"/>
  <c r="H31" i="20"/>
  <c r="G31" i="20" s="1"/>
  <c r="F31" i="20" s="1"/>
  <c r="H30" i="20"/>
  <c r="G30" i="20" s="1"/>
  <c r="F30" i="20" s="1"/>
  <c r="F35" i="20" l="1"/>
  <c r="F37" i="20" s="1"/>
  <c r="G37" i="20"/>
  <c r="AB19" i="20"/>
  <c r="H37" i="20"/>
  <c r="Z21" i="20"/>
  <c r="AC21" i="20" s="1"/>
  <c r="H55" i="20"/>
  <c r="H13" i="20"/>
  <c r="D48" i="20" l="1"/>
  <c r="D53" i="20" s="1"/>
  <c r="C48" i="20"/>
  <c r="C53" i="20" s="1"/>
  <c r="E48" i="20"/>
  <c r="E53" i="20" s="1"/>
  <c r="I42" i="34"/>
  <c r="I40" i="34"/>
  <c r="I41" i="34" s="1"/>
  <c r="I36" i="34"/>
  <c r="H36" i="34" s="1"/>
  <c r="G36" i="34" s="1"/>
  <c r="I35" i="34"/>
  <c r="H35" i="34" s="1"/>
  <c r="I22" i="34"/>
  <c r="F24" i="34" s="1"/>
  <c r="F27" i="34" s="1"/>
  <c r="F47" i="34" s="1"/>
  <c r="I17" i="34"/>
  <c r="I13" i="34"/>
  <c r="F55" i="34" l="1"/>
  <c r="F52" i="34"/>
  <c r="F50" i="34"/>
  <c r="F51" i="34"/>
  <c r="I29" i="34"/>
  <c r="G35" i="34"/>
  <c r="H37" i="34"/>
  <c r="I37" i="34"/>
  <c r="J40" i="15"/>
  <c r="J22" i="15"/>
  <c r="J17" i="15"/>
  <c r="J30" i="15"/>
  <c r="I30" i="15" s="1"/>
  <c r="H30" i="15" s="1"/>
  <c r="J31" i="15"/>
  <c r="I31" i="15" s="1"/>
  <c r="H31" i="15" s="1"/>
  <c r="J13" i="15"/>
  <c r="G37" i="34" l="1"/>
  <c r="J29" i="15"/>
  <c r="G24" i="15"/>
  <c r="G27" i="15" s="1"/>
  <c r="G47" i="15" s="1"/>
  <c r="H42" i="42"/>
  <c r="H41" i="42"/>
  <c r="H16" i="42"/>
  <c r="H13" i="42"/>
  <c r="F48" i="34" l="1"/>
  <c r="F53" i="34" s="1"/>
  <c r="E48" i="34"/>
  <c r="E53" i="34" s="1"/>
  <c r="D48" i="34"/>
  <c r="D53" i="34" s="1"/>
  <c r="G51" i="15"/>
  <c r="G52" i="15"/>
  <c r="G55" i="15"/>
  <c r="G50" i="15"/>
  <c r="H17" i="42"/>
  <c r="H22" i="42"/>
  <c r="H40" i="80"/>
  <c r="H41" i="80" s="1"/>
  <c r="H42" i="80"/>
  <c r="H35" i="80"/>
  <c r="G35" i="80" s="1"/>
  <c r="F35" i="80" s="1"/>
  <c r="H16" i="80"/>
  <c r="H29" i="80"/>
  <c r="H13" i="80"/>
  <c r="H21" i="80" l="1"/>
  <c r="H29" i="42"/>
  <c r="H17" i="80"/>
  <c r="I42" i="25"/>
  <c r="I41" i="25"/>
  <c r="I32" i="25"/>
  <c r="H32" i="25" s="1"/>
  <c r="I29" i="25"/>
  <c r="I37" i="25"/>
  <c r="F48" i="25" s="1"/>
  <c r="F53" i="25" s="1"/>
  <c r="I13" i="25"/>
  <c r="G32" i="25" l="1"/>
  <c r="H34" i="25"/>
  <c r="I34" i="25"/>
  <c r="J42" i="83"/>
  <c r="J40" i="83"/>
  <c r="J41" i="83" s="1"/>
  <c r="J31" i="83"/>
  <c r="I31" i="83" s="1"/>
  <c r="H31" i="83" s="1"/>
  <c r="J30" i="83"/>
  <c r="I30" i="83" s="1"/>
  <c r="H30" i="83" s="1"/>
  <c r="J36" i="83"/>
  <c r="I36" i="83" s="1"/>
  <c r="H36" i="83" s="1"/>
  <c r="J35" i="83"/>
  <c r="I35" i="83" s="1"/>
  <c r="N22" i="83"/>
  <c r="J17" i="83"/>
  <c r="J22" i="83"/>
  <c r="J13" i="83"/>
  <c r="G34" i="25" l="1"/>
  <c r="F32" i="25"/>
  <c r="F34" i="25" s="1"/>
  <c r="G24" i="83"/>
  <c r="G27" i="83" s="1"/>
  <c r="G47" i="83" s="1"/>
  <c r="H35" i="83"/>
  <c r="H37" i="83" s="1"/>
  <c r="I37" i="83"/>
  <c r="J29" i="83"/>
  <c r="J37" i="83"/>
  <c r="J40" i="48"/>
  <c r="J41" i="48" s="1"/>
  <c r="J42" i="48"/>
  <c r="J22" i="48"/>
  <c r="J17" i="48"/>
  <c r="E48" i="83" l="1"/>
  <c r="E53" i="83" s="1"/>
  <c r="F48" i="83"/>
  <c r="F53" i="83" s="1"/>
  <c r="G48" i="83"/>
  <c r="G53" i="83" s="1"/>
  <c r="G50" i="83"/>
  <c r="G55" i="83"/>
  <c r="G52" i="83"/>
  <c r="G51" i="83"/>
  <c r="G24" i="48"/>
  <c r="G27" i="48" s="1"/>
  <c r="G47" i="48" s="1"/>
  <c r="G55" i="48" s="1"/>
  <c r="H24" i="48"/>
  <c r="J29" i="48"/>
  <c r="J42" i="95"/>
  <c r="J41" i="95"/>
  <c r="J31" i="95"/>
  <c r="I31" i="95" s="1"/>
  <c r="H31" i="95" s="1"/>
  <c r="J30" i="95"/>
  <c r="I30" i="95" s="1"/>
  <c r="H30" i="95" s="1"/>
  <c r="J32" i="95"/>
  <c r="I32" i="95" s="1"/>
  <c r="H32" i="95" s="1"/>
  <c r="J35" i="95"/>
  <c r="I35" i="95" s="1"/>
  <c r="J36" i="95"/>
  <c r="I36" i="95" s="1"/>
  <c r="H36" i="95" s="1"/>
  <c r="J22" i="95"/>
  <c r="J17" i="95"/>
  <c r="J13" i="95"/>
  <c r="G51" i="48" l="1"/>
  <c r="G50" i="48"/>
  <c r="G52" i="48"/>
  <c r="J37" i="95"/>
  <c r="J29" i="95"/>
  <c r="G24" i="95"/>
  <c r="G27" i="95" s="1"/>
  <c r="G47" i="95" s="1"/>
  <c r="H35" i="95"/>
  <c r="H37" i="95" s="1"/>
  <c r="I37" i="95"/>
  <c r="K36" i="122"/>
  <c r="J36" i="122" s="1"/>
  <c r="I36" i="122" s="1"/>
  <c r="G42" i="122"/>
  <c r="G41" i="122"/>
  <c r="H41" i="122"/>
  <c r="G36" i="122"/>
  <c r="F36" i="122" s="1"/>
  <c r="E36" i="122" s="1"/>
  <c r="G35" i="122"/>
  <c r="F35" i="122" s="1"/>
  <c r="E35" i="122" s="1"/>
  <c r="K35" i="122"/>
  <c r="J35" i="122" s="1"/>
  <c r="G22" i="122"/>
  <c r="G29" i="122" s="1"/>
  <c r="G17" i="122"/>
  <c r="G13" i="122"/>
  <c r="F48" i="95" l="1"/>
  <c r="F53" i="95" s="1"/>
  <c r="E48" i="95"/>
  <c r="E53" i="95" s="1"/>
  <c r="J37" i="122"/>
  <c r="I35" i="122"/>
  <c r="D24" i="122"/>
  <c r="G48" i="95"/>
  <c r="G53" i="95" s="1"/>
  <c r="G52" i="95"/>
  <c r="G51" i="95"/>
  <c r="G55" i="95"/>
  <c r="G50" i="95"/>
  <c r="E37" i="122"/>
  <c r="B48" i="122" s="1"/>
  <c r="B53" i="122" s="1"/>
  <c r="E34" i="122"/>
  <c r="K37" i="122"/>
  <c r="G37" i="122"/>
  <c r="F37" i="122"/>
  <c r="J16" i="8"/>
  <c r="J17" i="8" s="1"/>
  <c r="J42" i="8"/>
  <c r="J40" i="8"/>
  <c r="J41" i="8" s="1"/>
  <c r="J31" i="8"/>
  <c r="I31" i="8" s="1"/>
  <c r="H31" i="8" s="1"/>
  <c r="J30" i="8"/>
  <c r="I30" i="8" s="1"/>
  <c r="H30" i="8" s="1"/>
  <c r="J36" i="8"/>
  <c r="I36" i="8" s="1"/>
  <c r="H36" i="8" s="1"/>
  <c r="J35" i="8"/>
  <c r="I35" i="8" s="1"/>
  <c r="J13" i="8"/>
  <c r="C48" i="122" l="1"/>
  <c r="C53" i="122" s="1"/>
  <c r="D26" i="122"/>
  <c r="D27" i="122" s="1"/>
  <c r="D47" i="122" s="1"/>
  <c r="H35" i="8"/>
  <c r="H37" i="8" s="1"/>
  <c r="I37" i="8"/>
  <c r="J37" i="8"/>
  <c r="D48" i="122"/>
  <c r="D53" i="122" s="1"/>
  <c r="J22" i="8"/>
  <c r="G24" i="8" s="1"/>
  <c r="G27" i="8" s="1"/>
  <c r="G47" i="8" s="1"/>
  <c r="N31" i="123"/>
  <c r="M31" i="123" s="1"/>
  <c r="L31" i="123" s="1"/>
  <c r="N30" i="123"/>
  <c r="M30" i="123" s="1"/>
  <c r="L30" i="123" s="1"/>
  <c r="J31" i="123"/>
  <c r="I31" i="123" s="1"/>
  <c r="H31" i="123" s="1"/>
  <c r="J30" i="123"/>
  <c r="I30" i="123" s="1"/>
  <c r="H30" i="123" s="1"/>
  <c r="J40" i="123"/>
  <c r="J41" i="123" s="1"/>
  <c r="J36" i="123"/>
  <c r="I36" i="123" s="1"/>
  <c r="H36" i="123" s="1"/>
  <c r="J35" i="123"/>
  <c r="I35" i="123" s="1"/>
  <c r="H35" i="123" s="1"/>
  <c r="J29" i="123"/>
  <c r="J17" i="123"/>
  <c r="J13" i="123"/>
  <c r="G55" i="8" l="1"/>
  <c r="G50" i="8"/>
  <c r="G51" i="8"/>
  <c r="G52" i="8"/>
  <c r="G48" i="8"/>
  <c r="G53" i="8" s="1"/>
  <c r="F48" i="8"/>
  <c r="F53" i="8" s="1"/>
  <c r="E48" i="8"/>
  <c r="E53" i="8" s="1"/>
  <c r="D50" i="122"/>
  <c r="D55" i="122"/>
  <c r="D51" i="122"/>
  <c r="D52" i="122"/>
  <c r="H37" i="123"/>
  <c r="I37" i="123"/>
  <c r="J37" i="123"/>
  <c r="J29" i="8"/>
  <c r="J31" i="3"/>
  <c r="I31" i="3" s="1"/>
  <c r="H31" i="3" s="1"/>
  <c r="G31" i="3" s="1"/>
  <c r="J30" i="3"/>
  <c r="I30" i="3" s="1"/>
  <c r="G30" i="3" s="1"/>
  <c r="J32" i="3"/>
  <c r="J33" i="3"/>
  <c r="J37" i="3"/>
  <c r="J29" i="3"/>
  <c r="J24" i="3"/>
  <c r="J25" i="3" s="1"/>
  <c r="J26" i="3" s="1"/>
  <c r="I26" i="3" s="1"/>
  <c r="H26" i="3" s="1"/>
  <c r="G26" i="3" s="1"/>
  <c r="G27" i="3" s="1"/>
  <c r="G47" i="3" s="1"/>
  <c r="J16" i="3"/>
  <c r="J17" i="3" s="1"/>
  <c r="J13" i="3"/>
  <c r="K41" i="3"/>
  <c r="T33" i="3"/>
  <c r="S33" i="3"/>
  <c r="R33" i="3"/>
  <c r="O33" i="3"/>
  <c r="N33" i="3"/>
  <c r="M33" i="3"/>
  <c r="L33" i="3"/>
  <c r="K33" i="3"/>
  <c r="K29" i="3"/>
  <c r="K24" i="3"/>
  <c r="K25" i="3" s="1"/>
  <c r="K27" i="3" s="1"/>
  <c r="K47" i="3" s="1"/>
  <c r="K55" i="3" s="1"/>
  <c r="K16" i="3"/>
  <c r="K12" i="3"/>
  <c r="K46" i="3" s="1"/>
  <c r="O12" i="3"/>
  <c r="J41" i="3"/>
  <c r="I41" i="3" s="1"/>
  <c r="I32" i="3" l="1"/>
  <c r="G32" i="3" s="1"/>
  <c r="F48" i="123"/>
  <c r="F53" i="123" s="1"/>
  <c r="E48" i="123"/>
  <c r="E53" i="123" s="1"/>
  <c r="G52" i="3"/>
  <c r="G50" i="3"/>
  <c r="G51" i="3"/>
  <c r="G55" i="3"/>
  <c r="K17" i="3"/>
  <c r="G48" i="3"/>
  <c r="G53" i="3" s="1"/>
  <c r="J46" i="3"/>
  <c r="G13" i="3"/>
  <c r="H46" i="3"/>
  <c r="I46" i="3"/>
  <c r="K13" i="3"/>
  <c r="G48" i="123"/>
  <c r="G53" i="123" s="1"/>
  <c r="K51" i="3"/>
  <c r="K50" i="3"/>
  <c r="K52" i="3"/>
  <c r="N31" i="103"/>
  <c r="N30" i="103"/>
  <c r="J31" i="103"/>
  <c r="J30" i="103"/>
  <c r="J55" i="103"/>
  <c r="J40" i="103"/>
  <c r="J41" i="103" s="1"/>
  <c r="J32" i="103"/>
  <c r="H32" i="103" s="1"/>
  <c r="N32" i="103"/>
  <c r="J37" i="103"/>
  <c r="J22" i="103"/>
  <c r="J17" i="103"/>
  <c r="J13" i="103"/>
  <c r="I82" i="1"/>
  <c r="G48" i="103" l="1"/>
  <c r="G53" i="103" s="1"/>
  <c r="G24" i="103"/>
  <c r="J29" i="103"/>
  <c r="J27" i="3"/>
  <c r="J36" i="76"/>
  <c r="N36" i="76"/>
  <c r="M36" i="76" s="1"/>
  <c r="L36" i="76" s="1"/>
  <c r="N35" i="76"/>
  <c r="M35" i="76" s="1"/>
  <c r="L35" i="76" s="1"/>
  <c r="J35" i="76"/>
  <c r="I35" i="76" s="1"/>
  <c r="H35" i="76" s="1"/>
  <c r="N31" i="76"/>
  <c r="M31" i="76" s="1"/>
  <c r="L31" i="76" s="1"/>
  <c r="N30" i="76"/>
  <c r="M30" i="76" s="1"/>
  <c r="L30" i="76" s="1"/>
  <c r="J31" i="76"/>
  <c r="J25" i="76"/>
  <c r="J27" i="76" s="1"/>
  <c r="J47" i="76" s="1"/>
  <c r="J22" i="76"/>
  <c r="J17" i="76"/>
  <c r="J13" i="76"/>
  <c r="I31" i="76" l="1"/>
  <c r="H31" i="76" s="1"/>
  <c r="I36" i="76"/>
  <c r="H36" i="76" s="1"/>
  <c r="J29" i="76"/>
  <c r="G25" i="103"/>
  <c r="G27" i="103" s="1"/>
  <c r="G47" i="103" s="1"/>
  <c r="I37" i="76"/>
  <c r="J37" i="76"/>
  <c r="J47" i="3"/>
  <c r="J52" i="3" s="1"/>
  <c r="I27" i="3"/>
  <c r="H35" i="96"/>
  <c r="H37" i="96" s="1"/>
  <c r="H32" i="96"/>
  <c r="H22" i="96"/>
  <c r="H17" i="96"/>
  <c r="H37" i="76" l="1"/>
  <c r="F48" i="76" s="1"/>
  <c r="F53" i="76" s="1"/>
  <c r="E48" i="76"/>
  <c r="E53" i="76" s="1"/>
  <c r="E24" i="96"/>
  <c r="G52" i="103"/>
  <c r="G50" i="103"/>
  <c r="G51" i="103"/>
  <c r="E48" i="96"/>
  <c r="E53" i="96" s="1"/>
  <c r="J55" i="3"/>
  <c r="J51" i="3"/>
  <c r="J50" i="3"/>
  <c r="G48" i="76"/>
  <c r="G53" i="76" s="1"/>
  <c r="H41" i="96"/>
  <c r="G41" i="96" s="1"/>
  <c r="I47" i="3"/>
  <c r="I51" i="3" s="1"/>
  <c r="H27" i="3"/>
  <c r="H47" i="3" s="1"/>
  <c r="I52" i="3"/>
  <c r="I50" i="3"/>
  <c r="H29" i="96"/>
  <c r="H34" i="96" s="1"/>
  <c r="F42" i="125"/>
  <c r="F40" i="125"/>
  <c r="F41" i="125" s="1"/>
  <c r="F35" i="125"/>
  <c r="E35" i="125" s="1"/>
  <c r="F33" i="125"/>
  <c r="F31" i="125"/>
  <c r="E31" i="125" s="1"/>
  <c r="D31" i="125" s="1"/>
  <c r="F30" i="125"/>
  <c r="E30" i="125" s="1"/>
  <c r="D30" i="125" s="1"/>
  <c r="F16" i="125"/>
  <c r="F17" i="125" s="1"/>
  <c r="F13" i="125"/>
  <c r="F22" i="125" l="1"/>
  <c r="D35" i="125"/>
  <c r="I55" i="3"/>
  <c r="H52" i="3"/>
  <c r="H50" i="3"/>
  <c r="H55" i="3"/>
  <c r="H51" i="3"/>
  <c r="F29" i="125" l="1"/>
  <c r="J50" i="133"/>
  <c r="J41" i="133"/>
  <c r="J55" i="133" s="1"/>
  <c r="K41" i="133"/>
  <c r="K52" i="133" s="1"/>
  <c r="K50" i="133"/>
  <c r="J22" i="133"/>
  <c r="J29" i="133" s="1"/>
  <c r="J17" i="133"/>
  <c r="J13" i="133"/>
  <c r="K51" i="133" l="1"/>
  <c r="J52" i="133"/>
  <c r="K53" i="133"/>
  <c r="J51" i="133"/>
  <c r="J53" i="133"/>
  <c r="N31" i="129"/>
  <c r="M31" i="129" s="1"/>
  <c r="L31" i="129" s="1"/>
  <c r="G31" i="129"/>
  <c r="N30" i="129"/>
  <c r="M30" i="129" s="1"/>
  <c r="L30" i="129" s="1"/>
  <c r="J30" i="129"/>
  <c r="N32" i="129"/>
  <c r="M32" i="129" s="1"/>
  <c r="L32" i="129" s="1"/>
  <c r="J22" i="129"/>
  <c r="J29" i="129" s="1"/>
  <c r="J17" i="129"/>
  <c r="J40" i="129"/>
  <c r="J41" i="129" s="1"/>
  <c r="H32" i="129"/>
  <c r="G32" i="129" s="1"/>
  <c r="J36" i="129"/>
  <c r="H36" i="129" s="1"/>
  <c r="N36" i="129"/>
  <c r="M36" i="129" s="1"/>
  <c r="L36" i="129" s="1"/>
  <c r="J13" i="129"/>
  <c r="H30" i="129" l="1"/>
  <c r="G30" i="129" s="1"/>
  <c r="G36" i="129"/>
  <c r="G37" i="129" s="1"/>
  <c r="D48" i="129" s="1"/>
  <c r="D53" i="129" s="1"/>
  <c r="H37" i="129"/>
  <c r="G24" i="129"/>
  <c r="J37" i="129"/>
  <c r="K13" i="126"/>
  <c r="K21" i="126"/>
  <c r="K33" i="126" s="1"/>
  <c r="K27" i="126"/>
  <c r="K47" i="126" s="1"/>
  <c r="K37" i="126"/>
  <c r="H48" i="126" s="1"/>
  <c r="H53" i="126" s="1"/>
  <c r="K17" i="126"/>
  <c r="K29" i="126"/>
  <c r="K42" i="126"/>
  <c r="K40" i="126"/>
  <c r="K41" i="126" s="1"/>
  <c r="K53" i="126" s="1"/>
  <c r="E48" i="129" l="1"/>
  <c r="E53" i="129" s="1"/>
  <c r="F48" i="129"/>
  <c r="F53" i="129" s="1"/>
  <c r="G25" i="129"/>
  <c r="G27" i="129" s="1"/>
  <c r="G47" i="129" s="1"/>
  <c r="G48" i="129"/>
  <c r="G53" i="129" s="1"/>
  <c r="K55" i="126"/>
  <c r="K50" i="126"/>
  <c r="K51" i="126"/>
  <c r="K52" i="126"/>
  <c r="K34" i="126"/>
  <c r="J41" i="128"/>
  <c r="J22" i="128"/>
  <c r="G24" i="128" s="1"/>
  <c r="J17" i="128"/>
  <c r="G25" i="128" l="1"/>
  <c r="G27" i="128"/>
  <c r="G47" i="128" s="1"/>
  <c r="G50" i="129"/>
  <c r="G52" i="129"/>
  <c r="G51" i="129"/>
  <c r="G55" i="129"/>
  <c r="N32" i="128"/>
  <c r="L32" i="128" s="1"/>
  <c r="K32" i="128" s="1"/>
  <c r="J32" i="128"/>
  <c r="H32" i="128" s="1"/>
  <c r="G32" i="128" s="1"/>
  <c r="N37" i="128"/>
  <c r="J37" i="128"/>
  <c r="J29" i="128"/>
  <c r="J13" i="128"/>
  <c r="G55" i="128" l="1"/>
  <c r="G51" i="128"/>
  <c r="G52" i="128"/>
  <c r="G50" i="128"/>
  <c r="H30" i="68"/>
  <c r="G30" i="68" s="1"/>
  <c r="H40" i="68"/>
  <c r="H41" i="68" s="1"/>
  <c r="H16" i="68"/>
  <c r="H21" i="68" s="1"/>
  <c r="H33" i="68" s="1"/>
  <c r="H34" i="68" s="1"/>
  <c r="H37" i="68"/>
  <c r="H55" i="68"/>
  <c r="H29" i="68"/>
  <c r="H13" i="68"/>
  <c r="E48" i="68" l="1"/>
  <c r="E53" i="68" s="1"/>
  <c r="H17" i="68"/>
  <c r="F30" i="68"/>
  <c r="G34" i="68"/>
  <c r="J32" i="120"/>
  <c r="J40" i="120"/>
  <c r="J41" i="120" s="1"/>
  <c r="J13" i="120"/>
  <c r="K13" i="120"/>
  <c r="J37" i="120"/>
  <c r="G48" i="120" s="1"/>
  <c r="G53" i="120" s="1"/>
  <c r="J29" i="120"/>
  <c r="J17" i="120"/>
  <c r="E30" i="68" l="1"/>
  <c r="F34" i="68"/>
  <c r="J42" i="130"/>
  <c r="I42" i="130" s="1"/>
  <c r="H42" i="130" s="1"/>
  <c r="G42" i="130" s="1"/>
  <c r="J39" i="130"/>
  <c r="J41" i="130" s="1"/>
  <c r="G55" i="130" l="1"/>
  <c r="F42" i="130"/>
  <c r="J29" i="130"/>
  <c r="J37" i="130"/>
  <c r="G48" i="130" s="1"/>
  <c r="G53" i="130" s="1"/>
  <c r="J13" i="130"/>
  <c r="E42" i="130" l="1"/>
  <c r="F55" i="130"/>
  <c r="J37" i="27"/>
  <c r="G48" i="27" s="1"/>
  <c r="G53" i="27" s="1"/>
  <c r="J22" i="27"/>
  <c r="G24" i="27" s="1"/>
  <c r="J17" i="27"/>
  <c r="J13" i="27"/>
  <c r="G26" i="27" l="1"/>
  <c r="G27" i="27" s="1"/>
  <c r="G47" i="27" s="1"/>
  <c r="D42" i="130"/>
  <c r="D55" i="130" s="1"/>
  <c r="E55" i="130"/>
  <c r="J29" i="27"/>
  <c r="J34" i="27" s="1"/>
  <c r="J40" i="131"/>
  <c r="J41" i="131" s="1"/>
  <c r="J44" i="131"/>
  <c r="L41" i="131"/>
  <c r="L46" i="131"/>
  <c r="L48" i="131"/>
  <c r="O16" i="131"/>
  <c r="O17" i="131" s="1"/>
  <c r="J29" i="131"/>
  <c r="J39" i="131"/>
  <c r="J31" i="131"/>
  <c r="G31" i="131" s="1"/>
  <c r="J24" i="131"/>
  <c r="J26" i="131" s="1"/>
  <c r="J27" i="131" s="1"/>
  <c r="J47" i="131" s="1"/>
  <c r="N21" i="131"/>
  <c r="J13" i="131"/>
  <c r="G50" i="27" l="1"/>
  <c r="G51" i="27"/>
  <c r="G52" i="27"/>
  <c r="G55" i="27"/>
  <c r="J55" i="131"/>
  <c r="L53" i="131"/>
  <c r="J50" i="131"/>
  <c r="J51" i="131"/>
  <c r="J52" i="131"/>
  <c r="L41" i="26" l="1"/>
  <c r="K41" i="26"/>
  <c r="J21" i="26"/>
  <c r="J16" i="26"/>
  <c r="J17" i="26" s="1"/>
  <c r="J36" i="26"/>
  <c r="J35" i="26"/>
  <c r="I35" i="26" s="1"/>
  <c r="J46" i="26"/>
  <c r="J41" i="26"/>
  <c r="J29" i="26"/>
  <c r="J24" i="26"/>
  <c r="J25" i="26" s="1"/>
  <c r="J13" i="26"/>
  <c r="J27" i="26" l="1"/>
  <c r="J47" i="26" s="1"/>
  <c r="J51" i="26"/>
  <c r="H35" i="26"/>
  <c r="J37" i="26"/>
  <c r="I36" i="26"/>
  <c r="H36" i="26" s="1"/>
  <c r="J55" i="26"/>
  <c r="J52" i="26"/>
  <c r="J50" i="26"/>
  <c r="N32" i="47"/>
  <c r="J21" i="47"/>
  <c r="J17" i="47"/>
  <c r="J41" i="47"/>
  <c r="J36" i="47"/>
  <c r="J37" i="47" s="1"/>
  <c r="G48" i="47" s="1"/>
  <c r="G53" i="47" s="1"/>
  <c r="J32" i="47"/>
  <c r="J29" i="47"/>
  <c r="J13" i="47"/>
  <c r="C21" i="1"/>
  <c r="I37" i="26" l="1"/>
  <c r="H37" i="26"/>
  <c r="H30" i="81"/>
  <c r="E30" i="81" s="1"/>
  <c r="H31" i="81"/>
  <c r="E31" i="81" s="1"/>
  <c r="L32" i="81"/>
  <c r="H32" i="81"/>
  <c r="H55" i="81"/>
  <c r="H46" i="81"/>
  <c r="H41" i="81"/>
  <c r="H37" i="81"/>
  <c r="E48" i="81" s="1"/>
  <c r="E53" i="81" s="1"/>
  <c r="H29" i="81"/>
  <c r="H17" i="81"/>
  <c r="H13" i="81"/>
  <c r="F48" i="26" l="1"/>
  <c r="F53" i="26" s="1"/>
  <c r="E48" i="26"/>
  <c r="E53" i="26" s="1"/>
  <c r="G48" i="26"/>
  <c r="G53" i="26" s="1"/>
  <c r="N36" i="65"/>
  <c r="J36" i="65"/>
  <c r="J37" i="65" s="1"/>
  <c r="G48" i="65" s="1"/>
  <c r="G53" i="65" s="1"/>
  <c r="J40" i="65"/>
  <c r="J22" i="65"/>
  <c r="J29" i="65" s="1"/>
  <c r="J34" i="65" s="1"/>
  <c r="J17" i="65"/>
  <c r="J13" i="65"/>
  <c r="J46" i="65"/>
  <c r="G24" i="65" l="1"/>
  <c r="J55" i="63"/>
  <c r="J40" i="63"/>
  <c r="J41" i="63" s="1"/>
  <c r="N21" i="63"/>
  <c r="J21" i="63"/>
  <c r="J16" i="63"/>
  <c r="J17" i="63" s="1"/>
  <c r="J29" i="63"/>
  <c r="J24" i="63"/>
  <c r="J25" i="63" s="1"/>
  <c r="J13" i="63"/>
  <c r="G25" i="65" l="1"/>
  <c r="G27" i="65" s="1"/>
  <c r="G47" i="65" s="1"/>
  <c r="J27" i="63"/>
  <c r="J47" i="63" s="1"/>
  <c r="J52" i="63" s="1"/>
  <c r="N22" i="134"/>
  <c r="M22" i="134"/>
  <c r="L22" i="134"/>
  <c r="L29" i="134" s="1"/>
  <c r="L35" i="134" s="1"/>
  <c r="L37" i="134" s="1"/>
  <c r="K22" i="134"/>
  <c r="K29" i="134" s="1"/>
  <c r="K35" i="134" s="1"/>
  <c r="K37" i="134" s="1"/>
  <c r="J22" i="134"/>
  <c r="G24" i="134" s="1"/>
  <c r="G27" i="134" s="1"/>
  <c r="G47" i="134" s="1"/>
  <c r="N17" i="134"/>
  <c r="M17" i="134"/>
  <c r="L17" i="134"/>
  <c r="K17" i="134"/>
  <c r="J17" i="134"/>
  <c r="J13" i="134"/>
  <c r="K10" i="134"/>
  <c r="L10" i="134" s="1"/>
  <c r="M10" i="134" s="1"/>
  <c r="N10" i="134" s="1"/>
  <c r="G50" i="65" l="1"/>
  <c r="G55" i="65"/>
  <c r="G51" i="65"/>
  <c r="G52" i="65"/>
  <c r="G52" i="134"/>
  <c r="G55" i="134"/>
  <c r="G50" i="134"/>
  <c r="G51" i="134"/>
  <c r="H24" i="134"/>
  <c r="H27" i="134" s="1"/>
  <c r="H47" i="134" s="1"/>
  <c r="I24" i="134"/>
  <c r="I27" i="134" s="1"/>
  <c r="I47" i="134" s="1"/>
  <c r="J24" i="134"/>
  <c r="J27" i="134" s="1"/>
  <c r="J29" i="134"/>
  <c r="J35" i="134" s="1"/>
  <c r="J37" i="134" s="1"/>
  <c r="G48" i="134" s="1"/>
  <c r="G53" i="134" s="1"/>
  <c r="N29" i="134"/>
  <c r="N35" i="134" s="1"/>
  <c r="N37" i="134" s="1"/>
  <c r="J50" i="63"/>
  <c r="J51" i="63"/>
  <c r="K24" i="134"/>
  <c r="K27" i="134" s="1"/>
  <c r="M29" i="134"/>
  <c r="M35" i="134" s="1"/>
  <c r="M37" i="134" s="1"/>
  <c r="J41" i="72"/>
  <c r="J13" i="72"/>
  <c r="J22" i="72"/>
  <c r="J17" i="72"/>
  <c r="I21" i="1"/>
  <c r="G24" i="72" l="1"/>
  <c r="G27" i="72" s="1"/>
  <c r="G47" i="72" s="1"/>
  <c r="J29" i="72"/>
  <c r="J35" i="72" s="1"/>
  <c r="J37" i="72" s="1"/>
  <c r="H48" i="134"/>
  <c r="H53" i="134" s="1"/>
  <c r="I48" i="134"/>
  <c r="I53" i="134" s="1"/>
  <c r="I50" i="134"/>
  <c r="I55" i="134"/>
  <c r="I52" i="134"/>
  <c r="I51" i="134"/>
  <c r="H52" i="134"/>
  <c r="H50" i="134"/>
  <c r="H51" i="134"/>
  <c r="H55" i="134"/>
  <c r="J55" i="72"/>
  <c r="J46" i="72"/>
  <c r="E21" i="1"/>
  <c r="O21" i="1"/>
  <c r="F21" i="1"/>
  <c r="G48" i="72" l="1"/>
  <c r="G53" i="72" s="1"/>
  <c r="G50" i="72"/>
  <c r="G51" i="72"/>
  <c r="G52" i="72"/>
  <c r="K39" i="97"/>
  <c r="O32" i="97"/>
  <c r="J32" i="97"/>
  <c r="I32" i="97" s="1"/>
  <c r="K37" i="97"/>
  <c r="H48" i="97" s="1"/>
  <c r="H53" i="97" s="1"/>
  <c r="K13" i="97"/>
  <c r="J21" i="1"/>
  <c r="H32" i="97" l="1"/>
  <c r="J46" i="108"/>
  <c r="J32" i="108"/>
  <c r="I32" i="108" s="1"/>
  <c r="J37" i="108"/>
  <c r="G48" i="108" s="1"/>
  <c r="J41" i="108"/>
  <c r="J17" i="108"/>
  <c r="J21" i="108"/>
  <c r="J22" i="108" s="1"/>
  <c r="J13" i="108"/>
  <c r="G24" i="108" l="1"/>
  <c r="G27" i="108" s="1"/>
  <c r="G47" i="108" s="1"/>
  <c r="J29" i="108"/>
  <c r="J41" i="13"/>
  <c r="G52" i="108" l="1"/>
  <c r="G51" i="108"/>
  <c r="G55" i="108"/>
  <c r="G50" i="108"/>
  <c r="J13" i="13"/>
  <c r="J17" i="13"/>
  <c r="J37" i="13"/>
  <c r="J55" i="13"/>
  <c r="J46" i="13"/>
  <c r="G48" i="13" l="1"/>
  <c r="G53" i="13" s="1"/>
  <c r="G24" i="13"/>
  <c r="G27" i="13" s="1"/>
  <c r="G47" i="13" s="1"/>
  <c r="J29" i="13"/>
  <c r="J42" i="25"/>
  <c r="N22" i="25"/>
  <c r="J22" i="25"/>
  <c r="J41" i="25"/>
  <c r="G24" i="25" l="1"/>
  <c r="G27" i="25" s="1"/>
  <c r="G47" i="25" s="1"/>
  <c r="H24" i="25"/>
  <c r="H27" i="25" s="1"/>
  <c r="H47" i="25" s="1"/>
  <c r="G52" i="13"/>
  <c r="G50" i="13"/>
  <c r="G51" i="13"/>
  <c r="J29" i="25"/>
  <c r="I24" i="25"/>
  <c r="I27" i="25" s="1"/>
  <c r="I47" i="25" s="1"/>
  <c r="H50" i="25" l="1"/>
  <c r="H55" i="25"/>
  <c r="H51" i="25"/>
  <c r="H52" i="25"/>
  <c r="G50" i="25"/>
  <c r="G55" i="25"/>
  <c r="G51" i="25"/>
  <c r="G52" i="25"/>
  <c r="I55" i="25"/>
  <c r="I52" i="25"/>
  <c r="I51" i="25"/>
  <c r="I50" i="25"/>
  <c r="K37" i="116"/>
  <c r="H48" i="116" s="1"/>
  <c r="K22" i="116" l="1"/>
  <c r="H24" i="116" s="1"/>
  <c r="H26" i="116" s="1"/>
  <c r="H27" i="116" s="1"/>
  <c r="H47" i="116" s="1"/>
  <c r="K17" i="116"/>
  <c r="K13" i="116"/>
  <c r="H52" i="116" l="1"/>
  <c r="H51" i="116"/>
  <c r="H50" i="116"/>
  <c r="L40" i="114"/>
  <c r="L41" i="114" l="1"/>
  <c r="L36" i="114"/>
  <c r="L31" i="114"/>
  <c r="O32" i="114"/>
  <c r="L32" i="114" s="1"/>
  <c r="K39" i="114"/>
  <c r="K40" i="114"/>
  <c r="K41" i="114" s="1"/>
  <c r="K42" i="114"/>
  <c r="O30" i="114"/>
  <c r="L30" i="114" s="1"/>
  <c r="K30" i="114"/>
  <c r="K32" i="114"/>
  <c r="K37" i="114"/>
  <c r="H48" i="114" s="1"/>
  <c r="H53" i="114" s="1"/>
  <c r="K22" i="114"/>
  <c r="H24" i="114" s="1"/>
  <c r="K17" i="114"/>
  <c r="K13" i="114"/>
  <c r="L22" i="114"/>
  <c r="L42" i="114"/>
  <c r="L12" i="114"/>
  <c r="H13" i="114" s="1"/>
  <c r="H25" i="114" l="1"/>
  <c r="H27" i="114" s="1"/>
  <c r="H47" i="114" s="1"/>
  <c r="J30" i="114"/>
  <c r="I30" i="114" s="1"/>
  <c r="H30" i="114" s="1"/>
  <c r="J32" i="114"/>
  <c r="H32" i="114" s="1"/>
  <c r="K29" i="114"/>
  <c r="I24" i="114"/>
  <c r="I27" i="114" s="1"/>
  <c r="I47" i="114" s="1"/>
  <c r="J46" i="114"/>
  <c r="I46" i="114"/>
  <c r="L46" i="114"/>
  <c r="K46" i="114"/>
  <c r="L29" i="114"/>
  <c r="L17" i="114"/>
  <c r="O31" i="89"/>
  <c r="O32" i="89"/>
  <c r="K32" i="89"/>
  <c r="H32" i="89" s="1"/>
  <c r="K39" i="89"/>
  <c r="J39" i="89" s="1"/>
  <c r="K30" i="89"/>
  <c r="H30" i="89" s="1"/>
  <c r="K31" i="89"/>
  <c r="H31" i="89" s="1"/>
  <c r="K37" i="89"/>
  <c r="H48" i="89" s="1"/>
  <c r="H53" i="89" s="1"/>
  <c r="K13" i="89"/>
  <c r="K22" i="89"/>
  <c r="K17" i="89"/>
  <c r="H55" i="114" l="1"/>
  <c r="H51" i="114"/>
  <c r="H52" i="114"/>
  <c r="H50" i="114"/>
  <c r="I39" i="89"/>
  <c r="I50" i="114"/>
  <c r="I55" i="114"/>
  <c r="I51" i="114"/>
  <c r="I52" i="114"/>
  <c r="K29" i="89"/>
  <c r="H24" i="89"/>
  <c r="H25" i="89" s="1"/>
  <c r="H27" i="89" s="1"/>
  <c r="H47" i="89" s="1"/>
  <c r="N32" i="57"/>
  <c r="J32" i="57"/>
  <c r="J37" i="57"/>
  <c r="G48" i="57" s="1"/>
  <c r="G53" i="57" s="1"/>
  <c r="J33" i="57"/>
  <c r="J29" i="57"/>
  <c r="J21" i="57"/>
  <c r="J17" i="57"/>
  <c r="J13" i="57"/>
  <c r="J42" i="57"/>
  <c r="J41" i="57"/>
  <c r="J46" i="57"/>
  <c r="I32" i="57" l="1"/>
  <c r="I34" i="57" s="1"/>
  <c r="J34" i="57"/>
  <c r="H52" i="89"/>
  <c r="H50" i="89"/>
  <c r="H51" i="89"/>
  <c r="J39" i="45"/>
  <c r="AA44" i="45"/>
  <c r="J40" i="45"/>
  <c r="K40" i="45"/>
  <c r="K41" i="45" s="1"/>
  <c r="J41" i="45" l="1"/>
  <c r="G32" i="57"/>
  <c r="G34" i="57" s="1"/>
  <c r="J17" i="45"/>
  <c r="J37" i="45"/>
  <c r="G48" i="45" s="1"/>
  <c r="G53" i="45" s="1"/>
  <c r="J13" i="45"/>
  <c r="I33" i="45" l="1"/>
  <c r="I29" i="45"/>
  <c r="I34" i="45" s="1"/>
  <c r="J29" i="45"/>
  <c r="J21" i="45"/>
  <c r="J33" i="45" s="1"/>
  <c r="K32" i="19"/>
  <c r="J32" i="19" s="1"/>
  <c r="I32" i="19" s="1"/>
  <c r="H32" i="19" s="1"/>
  <c r="K22" i="19"/>
  <c r="H24" i="19" s="1"/>
  <c r="K17" i="19"/>
  <c r="K39" i="19"/>
  <c r="K41" i="19" s="1"/>
  <c r="O32" i="19"/>
  <c r="N32" i="19" s="1"/>
  <c r="M32" i="19" s="1"/>
  <c r="L32" i="19" s="1"/>
  <c r="K37" i="19"/>
  <c r="H48" i="19" s="1"/>
  <c r="H53" i="19" s="1"/>
  <c r="K13" i="19"/>
  <c r="K55" i="19"/>
  <c r="K46" i="19"/>
  <c r="J34" i="45" l="1"/>
  <c r="H29" i="45"/>
  <c r="H33" i="45"/>
  <c r="H25" i="19"/>
  <c r="H27" i="19" s="1"/>
  <c r="H47" i="19" s="1"/>
  <c r="K29" i="19"/>
  <c r="K41" i="116"/>
  <c r="K29" i="116"/>
  <c r="E24" i="45" l="1"/>
  <c r="D24" i="45"/>
  <c r="G29" i="45"/>
  <c r="F24" i="45"/>
  <c r="F26" i="45" s="1"/>
  <c r="G24" i="45"/>
  <c r="G27" i="45" s="1"/>
  <c r="G47" i="45" s="1"/>
  <c r="H50" i="19"/>
  <c r="H55" i="19"/>
  <c r="H52" i="19"/>
  <c r="H51" i="19"/>
  <c r="H34" i="45"/>
  <c r="G33" i="45"/>
  <c r="K41" i="98"/>
  <c r="K40" i="98" s="1"/>
  <c r="K22" i="98"/>
  <c r="K17" i="98"/>
  <c r="K32" i="98"/>
  <c r="O32" i="98"/>
  <c r="N32" i="98" s="1"/>
  <c r="M32" i="98" s="1"/>
  <c r="L32" i="98" s="1"/>
  <c r="K37" i="98"/>
  <c r="H48" i="98" s="1"/>
  <c r="H53" i="98" s="1"/>
  <c r="K13" i="98"/>
  <c r="J32" i="98" l="1"/>
  <c r="I32" i="98" s="1"/>
  <c r="H32" i="98" s="1"/>
  <c r="D26" i="45"/>
  <c r="D27" i="45" s="1"/>
  <c r="D47" i="45" s="1"/>
  <c r="E27" i="45"/>
  <c r="E47" i="45" s="1"/>
  <c r="F27" i="45"/>
  <c r="F47" i="45" s="1"/>
  <c r="G50" i="45"/>
  <c r="G52" i="45"/>
  <c r="G51" i="45"/>
  <c r="G34" i="45"/>
  <c r="H24" i="98"/>
  <c r="H27" i="98" s="1"/>
  <c r="H47" i="98" s="1"/>
  <c r="K29" i="98"/>
  <c r="J33" i="102"/>
  <c r="K42" i="102"/>
  <c r="J22" i="102"/>
  <c r="F24" i="102" s="1"/>
  <c r="E24" i="102" s="1"/>
  <c r="J17" i="102"/>
  <c r="J32" i="102"/>
  <c r="G32" i="102" s="1"/>
  <c r="N32" i="102"/>
  <c r="K32" i="102" s="1"/>
  <c r="J37" i="102"/>
  <c r="J13" i="102"/>
  <c r="D50" i="45" l="1"/>
  <c r="D51" i="45"/>
  <c r="D52" i="45"/>
  <c r="E27" i="102"/>
  <c r="E47" i="102" s="1"/>
  <c r="D24" i="102"/>
  <c r="D27" i="102" s="1"/>
  <c r="D47" i="102" s="1"/>
  <c r="E50" i="45"/>
  <c r="E52" i="45"/>
  <c r="E51" i="45"/>
  <c r="F50" i="45"/>
  <c r="F52" i="45"/>
  <c r="F51" i="45"/>
  <c r="H50" i="98"/>
  <c r="H55" i="98"/>
  <c r="H52" i="98"/>
  <c r="H51" i="98"/>
  <c r="J29" i="102"/>
  <c r="E50" i="102" l="1"/>
  <c r="E51" i="102"/>
  <c r="E52" i="102"/>
  <c r="E55" i="102"/>
  <c r="D50" i="102"/>
  <c r="D52" i="102"/>
  <c r="D55" i="102"/>
  <c r="D51" i="102"/>
  <c r="K32" i="130" l="1"/>
  <c r="K30" i="130"/>
  <c r="K31" i="130"/>
  <c r="K35" i="130"/>
  <c r="K36" i="130"/>
  <c r="K13" i="130"/>
  <c r="K37" i="130" l="1"/>
  <c r="G42" i="125"/>
  <c r="G40" i="125"/>
  <c r="G41" i="125" s="1"/>
  <c r="G32" i="125"/>
  <c r="F32" i="125" s="1"/>
  <c r="E32" i="125" s="1"/>
  <c r="D32" i="125" s="1"/>
  <c r="G36" i="125"/>
  <c r="F36" i="125" s="1"/>
  <c r="G33" i="125"/>
  <c r="G16" i="125"/>
  <c r="D16" i="125" s="1"/>
  <c r="G13" i="125"/>
  <c r="E36" i="125" l="1"/>
  <c r="F37" i="125"/>
  <c r="G17" i="125"/>
  <c r="D22" i="125"/>
  <c r="D17" i="125"/>
  <c r="G22" i="125"/>
  <c r="G37" i="125"/>
  <c r="H48" i="130"/>
  <c r="H53" i="130" s="1"/>
  <c r="J55" i="58"/>
  <c r="N12" i="58"/>
  <c r="N37" i="58"/>
  <c r="J35" i="58"/>
  <c r="I35" i="58" s="1"/>
  <c r="J12" i="58"/>
  <c r="J41" i="58"/>
  <c r="J22" i="58"/>
  <c r="G24" i="58" s="1"/>
  <c r="G25" i="58" s="1"/>
  <c r="G27" i="58" s="1"/>
  <c r="G47" i="58" s="1"/>
  <c r="K48" i="58"/>
  <c r="J17" i="58" l="1"/>
  <c r="F13" i="58"/>
  <c r="C24" i="125"/>
  <c r="C27" i="125" s="1"/>
  <c r="C47" i="125" s="1"/>
  <c r="C55" i="125" s="1"/>
  <c r="B24" i="125"/>
  <c r="B27" i="125" s="1"/>
  <c r="B47" i="125" s="1"/>
  <c r="J37" i="58"/>
  <c r="J48" i="58" s="1"/>
  <c r="J53" i="58" s="1"/>
  <c r="H35" i="58"/>
  <c r="I37" i="58"/>
  <c r="I48" i="58" s="1"/>
  <c r="C52" i="125"/>
  <c r="C51" i="125"/>
  <c r="G52" i="58"/>
  <c r="G50" i="58"/>
  <c r="G51" i="58"/>
  <c r="G29" i="125"/>
  <c r="D36" i="125"/>
  <c r="D37" i="125" s="1"/>
  <c r="B48" i="125" s="1"/>
  <c r="B53" i="125" s="1"/>
  <c r="E37" i="125"/>
  <c r="D24" i="125"/>
  <c r="D27" i="125" s="1"/>
  <c r="D47" i="125" s="1"/>
  <c r="D29" i="125"/>
  <c r="J29" i="58"/>
  <c r="K30" i="76"/>
  <c r="J30" i="76" s="1"/>
  <c r="I30" i="76" s="1"/>
  <c r="H30" i="76" s="1"/>
  <c r="K37" i="76"/>
  <c r="H48" i="76" s="1"/>
  <c r="K25" i="76"/>
  <c r="K27" i="76" s="1"/>
  <c r="K47" i="76" s="1"/>
  <c r="K22" i="76"/>
  <c r="K17" i="76"/>
  <c r="K13" i="76"/>
  <c r="J41" i="73"/>
  <c r="J32" i="73"/>
  <c r="J40" i="73"/>
  <c r="J33" i="73"/>
  <c r="J37" i="73"/>
  <c r="J22" i="73"/>
  <c r="G24" i="73" s="1"/>
  <c r="J17" i="73"/>
  <c r="J13" i="73"/>
  <c r="B52" i="125" l="1"/>
  <c r="B51" i="125"/>
  <c r="B50" i="125"/>
  <c r="B55" i="125"/>
  <c r="C50" i="125"/>
  <c r="G35" i="58"/>
  <c r="G37" i="58" s="1"/>
  <c r="H37" i="58"/>
  <c r="H48" i="58" s="1"/>
  <c r="G25" i="73"/>
  <c r="G27" i="73" s="1"/>
  <c r="G47" i="73" s="1"/>
  <c r="C48" i="125"/>
  <c r="C53" i="125" s="1"/>
  <c r="I53" i="58"/>
  <c r="K29" i="76"/>
  <c r="D50" i="125"/>
  <c r="D55" i="125"/>
  <c r="D51" i="125"/>
  <c r="D52" i="125"/>
  <c r="D48" i="125"/>
  <c r="D53" i="125" s="1"/>
  <c r="J29" i="73"/>
  <c r="X36" i="28"/>
  <c r="X35" i="28"/>
  <c r="X32" i="28"/>
  <c r="X31" i="28"/>
  <c r="X30" i="28"/>
  <c r="L25" i="28"/>
  <c r="L26" i="28" s="1"/>
  <c r="K25" i="28"/>
  <c r="K26" i="28" s="1"/>
  <c r="M22" i="28"/>
  <c r="K22" i="28"/>
  <c r="K29" i="28" s="1"/>
  <c r="K17" i="28"/>
  <c r="O30" i="28"/>
  <c r="L30" i="28" s="1"/>
  <c r="K46" i="28"/>
  <c r="K32" i="28"/>
  <c r="J32" i="28" s="1"/>
  <c r="I32" i="28" s="1"/>
  <c r="H32" i="28" s="1"/>
  <c r="O32" i="28"/>
  <c r="N32" i="28" s="1"/>
  <c r="M32" i="28" s="1"/>
  <c r="L32" i="28" s="1"/>
  <c r="K37" i="28"/>
  <c r="H48" i="28" s="1"/>
  <c r="H53" i="28" s="1"/>
  <c r="K13" i="28"/>
  <c r="K27" i="28" l="1"/>
  <c r="K47" i="28" s="1"/>
  <c r="K51" i="28" s="1"/>
  <c r="G50" i="73"/>
  <c r="G51" i="73"/>
  <c r="G55" i="73"/>
  <c r="G52" i="73"/>
  <c r="G48" i="58"/>
  <c r="H53" i="58"/>
  <c r="H24" i="28"/>
  <c r="K55" i="28"/>
  <c r="K52" i="28" l="1"/>
  <c r="K50" i="28"/>
  <c r="G53" i="58"/>
  <c r="F48" i="58"/>
  <c r="H25" i="28"/>
  <c r="H27" i="28" s="1"/>
  <c r="H47" i="28" s="1"/>
  <c r="C41" i="107"/>
  <c r="C40" i="107" s="1"/>
  <c r="G31" i="107"/>
  <c r="F31" i="107" s="1"/>
  <c r="C31" i="107"/>
  <c r="B31" i="107" s="1"/>
  <c r="G30" i="107"/>
  <c r="F30" i="107" s="1"/>
  <c r="C30" i="107"/>
  <c r="B30" i="107" s="1"/>
  <c r="C17" i="107"/>
  <c r="C32" i="107"/>
  <c r="B32" i="107" s="1"/>
  <c r="C35" i="107"/>
  <c r="B35" i="107" s="1"/>
  <c r="B37" i="107" s="1"/>
  <c r="C13" i="107"/>
  <c r="F53" i="58" l="1"/>
  <c r="E48" i="58"/>
  <c r="C37" i="107"/>
  <c r="H52" i="28"/>
  <c r="H51" i="28"/>
  <c r="H50" i="28"/>
  <c r="H55" i="28"/>
  <c r="E53" i="58" l="1"/>
  <c r="D48" i="58"/>
  <c r="D53" i="58" s="1"/>
  <c r="K40" i="54"/>
  <c r="K41" i="54" s="1"/>
  <c r="K32" i="54"/>
  <c r="O32" i="54"/>
  <c r="K55" i="54"/>
  <c r="K46" i="54"/>
  <c r="K37" i="54"/>
  <c r="K22" i="54"/>
  <c r="K17" i="54"/>
  <c r="K13" i="54"/>
  <c r="K29" i="54" l="1"/>
  <c r="H24" i="54"/>
  <c r="H48" i="54"/>
  <c r="H53" i="54" s="1"/>
  <c r="B16" i="29"/>
  <c r="B22" i="29" s="1"/>
  <c r="B29" i="29" s="1"/>
  <c r="B31" i="29"/>
  <c r="F31" i="29"/>
  <c r="B32" i="29"/>
  <c r="B37" i="29"/>
  <c r="B13" i="29"/>
  <c r="B17" i="29" l="1"/>
  <c r="H25" i="54"/>
  <c r="H27" i="54" s="1"/>
  <c r="H47" i="54" s="1"/>
  <c r="E31" i="112"/>
  <c r="D31" i="112" s="1"/>
  <c r="C31" i="112" s="1"/>
  <c r="B31" i="112" s="1"/>
  <c r="I31" i="112"/>
  <c r="I30" i="112"/>
  <c r="E30" i="112"/>
  <c r="D30" i="112" s="1"/>
  <c r="C30" i="112" s="1"/>
  <c r="B30" i="112" s="1"/>
  <c r="E40" i="112"/>
  <c r="E41" i="112" s="1"/>
  <c r="E32" i="112"/>
  <c r="D32" i="112" s="1"/>
  <c r="C32" i="112" s="1"/>
  <c r="B32" i="112" s="1"/>
  <c r="E16" i="112"/>
  <c r="E17" i="112" s="1"/>
  <c r="F22" i="112"/>
  <c r="E29" i="112"/>
  <c r="E37" i="112"/>
  <c r="B48" i="112" s="1"/>
  <c r="B53" i="112" s="1"/>
  <c r="E13" i="112"/>
  <c r="E55" i="112"/>
  <c r="H51" i="54" l="1"/>
  <c r="H50" i="54"/>
  <c r="H52" i="54"/>
  <c r="D24" i="112"/>
  <c r="D27" i="112" s="1"/>
  <c r="D47" i="112" s="1"/>
  <c r="D51" i="112" s="1"/>
  <c r="C24" i="112"/>
  <c r="C27" i="112" s="1"/>
  <c r="C47" i="112" s="1"/>
  <c r="E24" i="112"/>
  <c r="E27" i="112" s="1"/>
  <c r="E47" i="112" s="1"/>
  <c r="E52" i="112" s="1"/>
  <c r="K32" i="15"/>
  <c r="J32" i="15" s="1"/>
  <c r="I32" i="15" s="1"/>
  <c r="H32" i="15" s="1"/>
  <c r="K36" i="15"/>
  <c r="J36" i="15" s="1"/>
  <c r="I36" i="15" s="1"/>
  <c r="H36" i="15" s="1"/>
  <c r="K35" i="15"/>
  <c r="K40" i="15"/>
  <c r="D50" i="112" l="1"/>
  <c r="D52" i="112"/>
  <c r="C50" i="112"/>
  <c r="C52" i="112"/>
  <c r="C51" i="112"/>
  <c r="E51" i="112"/>
  <c r="K37" i="15"/>
  <c r="J35" i="15"/>
  <c r="E50" i="112"/>
  <c r="K13" i="15"/>
  <c r="K22" i="15"/>
  <c r="K17" i="15"/>
  <c r="J37" i="15" l="1"/>
  <c r="I35" i="15"/>
  <c r="H35" i="15" s="1"/>
  <c r="K29" i="15"/>
  <c r="H24" i="15"/>
  <c r="H27" i="15" s="1"/>
  <c r="H47" i="15" s="1"/>
  <c r="B40" i="106"/>
  <c r="B41" i="106" s="1"/>
  <c r="C44" i="106"/>
  <c r="B42" i="106"/>
  <c r="B35" i="106"/>
  <c r="B37" i="106" s="1"/>
  <c r="F16" i="106"/>
  <c r="F21" i="106"/>
  <c r="F20" i="106"/>
  <c r="B21" i="106"/>
  <c r="B20" i="106"/>
  <c r="B16" i="106"/>
  <c r="B17" i="106" s="1"/>
  <c r="B12" i="106"/>
  <c r="B13" i="106" s="1"/>
  <c r="F22" i="106" l="1"/>
  <c r="B46" i="106"/>
  <c r="B22" i="106"/>
  <c r="H37" i="15"/>
  <c r="I37" i="15"/>
  <c r="H50" i="15"/>
  <c r="H55" i="15"/>
  <c r="H51" i="15"/>
  <c r="H52" i="15"/>
  <c r="E48" i="15" l="1"/>
  <c r="E53" i="15" s="1"/>
  <c r="F48" i="15"/>
  <c r="F53" i="15" s="1"/>
  <c r="G48" i="15"/>
  <c r="G53" i="15" s="1"/>
  <c r="H48" i="15"/>
  <c r="H53" i="15" s="1"/>
  <c r="B29" i="106"/>
  <c r="I42" i="42"/>
  <c r="M16" i="42" l="1"/>
  <c r="I41" i="42"/>
  <c r="I16" i="42"/>
  <c r="I35" i="42"/>
  <c r="H35" i="42" s="1"/>
  <c r="G35" i="42" s="1"/>
  <c r="H36" i="42"/>
  <c r="I31" i="42"/>
  <c r="H31" i="42" s="1"/>
  <c r="G31" i="42" s="1"/>
  <c r="I30" i="42"/>
  <c r="H30" i="42" s="1"/>
  <c r="G30" i="42" s="1"/>
  <c r="I22" i="42" l="1"/>
  <c r="I17" i="42"/>
  <c r="G36" i="42"/>
  <c r="G37" i="42" s="1"/>
  <c r="D48" i="42" s="1"/>
  <c r="D53" i="42" s="1"/>
  <c r="H37" i="42"/>
  <c r="I37" i="42"/>
  <c r="I13" i="42"/>
  <c r="I29" i="42" l="1"/>
  <c r="E48" i="42"/>
  <c r="E53" i="42" s="1"/>
  <c r="F48" i="42"/>
  <c r="F53" i="42" s="1"/>
  <c r="H32" i="20" l="1"/>
  <c r="G32" i="20" s="1"/>
  <c r="F32" i="20" s="1"/>
  <c r="M32" i="20"/>
  <c r="L32" i="20" s="1"/>
  <c r="K32" i="20" s="1"/>
  <c r="I37" i="20"/>
  <c r="I55" i="20"/>
  <c r="I40" i="20"/>
  <c r="I41" i="20" s="1"/>
  <c r="I22" i="20"/>
  <c r="I13" i="20"/>
  <c r="I29" i="20" l="1"/>
  <c r="F48" i="20"/>
  <c r="F53" i="20" s="1"/>
  <c r="H22" i="20"/>
  <c r="E24" i="20" s="1"/>
  <c r="E27" i="20" s="1"/>
  <c r="E47" i="20" s="1"/>
  <c r="O32" i="48"/>
  <c r="K42" i="48"/>
  <c r="K41" i="48"/>
  <c r="O31" i="48"/>
  <c r="J32" i="48"/>
  <c r="I32" i="48" s="1"/>
  <c r="K35" i="48"/>
  <c r="J35" i="48" s="1"/>
  <c r="K16" i="48"/>
  <c r="K17" i="48" s="1"/>
  <c r="K13" i="48"/>
  <c r="E52" i="20" l="1"/>
  <c r="E51" i="20"/>
  <c r="E50" i="20"/>
  <c r="K22" i="48"/>
  <c r="K29" i="48" s="1"/>
  <c r="H26" i="48"/>
  <c r="H27" i="48" s="1"/>
  <c r="H47" i="48" s="1"/>
  <c r="I35" i="48"/>
  <c r="J37" i="48"/>
  <c r="K37" i="48"/>
  <c r="H29" i="20"/>
  <c r="F24" i="20"/>
  <c r="F27" i="20" s="1"/>
  <c r="F47" i="20" s="1"/>
  <c r="H42" i="122"/>
  <c r="L37" i="122"/>
  <c r="H37" i="122"/>
  <c r="E48" i="122" s="1"/>
  <c r="E53" i="122" s="1"/>
  <c r="H22" i="122"/>
  <c r="E24" i="122" s="1"/>
  <c r="H17" i="122"/>
  <c r="I37" i="48" l="1"/>
  <c r="H35" i="48"/>
  <c r="H37" i="48" s="1"/>
  <c r="E48" i="48" s="1"/>
  <c r="E53" i="48" s="1"/>
  <c r="E26" i="122"/>
  <c r="E27" i="122" s="1"/>
  <c r="E47" i="122" s="1"/>
  <c r="H48" i="48"/>
  <c r="H53" i="48" s="1"/>
  <c r="H50" i="48"/>
  <c r="H55" i="48"/>
  <c r="H52" i="48"/>
  <c r="H51" i="48"/>
  <c r="F52" i="20"/>
  <c r="F51" i="20"/>
  <c r="F50" i="20"/>
  <c r="H48" i="122"/>
  <c r="H53" i="122" s="1"/>
  <c r="H29" i="122"/>
  <c r="E46" i="119"/>
  <c r="G48" i="48" l="1"/>
  <c r="G53" i="48" s="1"/>
  <c r="F48" i="48"/>
  <c r="F53" i="48" s="1"/>
  <c r="E55" i="122"/>
  <c r="E51" i="122"/>
  <c r="E50" i="122"/>
  <c r="E52" i="122"/>
  <c r="F40" i="119"/>
  <c r="F41" i="119" s="1"/>
  <c r="E40" i="119"/>
  <c r="E50" i="119" s="1"/>
  <c r="I32" i="119"/>
  <c r="E32" i="119"/>
  <c r="E37" i="119"/>
  <c r="E29" i="119"/>
  <c r="E21" i="119"/>
  <c r="E33" i="119" s="1"/>
  <c r="E24" i="119"/>
  <c r="E27" i="119" s="1"/>
  <c r="E13" i="119"/>
  <c r="E41" i="119" l="1"/>
  <c r="E16" i="119"/>
  <c r="E17" i="119" s="1"/>
  <c r="E34" i="119"/>
  <c r="E55" i="119"/>
  <c r="E52" i="119"/>
  <c r="E51" i="119"/>
  <c r="J31" i="34"/>
  <c r="I31" i="34" s="1"/>
  <c r="H31" i="34" s="1"/>
  <c r="G31" i="34" s="1"/>
  <c r="J42" i="34"/>
  <c r="J40" i="34"/>
  <c r="J41" i="34" s="1"/>
  <c r="J30" i="34"/>
  <c r="J32" i="34"/>
  <c r="I32" i="34" s="1"/>
  <c r="H32" i="34" s="1"/>
  <c r="G32" i="34" s="1"/>
  <c r="J37" i="34"/>
  <c r="J22" i="34"/>
  <c r="J17" i="34"/>
  <c r="J13" i="34"/>
  <c r="G48" i="34" l="1"/>
  <c r="G53" i="34" s="1"/>
  <c r="J29" i="34"/>
  <c r="G24" i="34"/>
  <c r="G25" i="34" s="1"/>
  <c r="G27" i="34" s="1"/>
  <c r="G47" i="34" s="1"/>
  <c r="J34" i="34"/>
  <c r="I30" i="34"/>
  <c r="K42" i="8"/>
  <c r="K40" i="8"/>
  <c r="K41" i="8" s="1"/>
  <c r="K32" i="8"/>
  <c r="J32" i="8" s="1"/>
  <c r="I32" i="8" s="1"/>
  <c r="H32" i="8" s="1"/>
  <c r="K37" i="8"/>
  <c r="K22" i="8"/>
  <c r="K29" i="8" s="1"/>
  <c r="K17" i="8"/>
  <c r="K13" i="8"/>
  <c r="G55" i="34" l="1"/>
  <c r="G50" i="34"/>
  <c r="G52" i="34"/>
  <c r="G51" i="34"/>
  <c r="H30" i="34"/>
  <c r="I34" i="34"/>
  <c r="H48" i="8"/>
  <c r="H53" i="8" s="1"/>
  <c r="H24" i="8"/>
  <c r="H27" i="8" s="1"/>
  <c r="H47" i="8" s="1"/>
  <c r="K40" i="123"/>
  <c r="K41" i="123" s="1"/>
  <c r="K37" i="123"/>
  <c r="O32" i="123"/>
  <c r="N32" i="123" s="1"/>
  <c r="M32" i="123" s="1"/>
  <c r="L32" i="123" s="1"/>
  <c r="K32" i="123"/>
  <c r="J32" i="123" s="1"/>
  <c r="I32" i="123" s="1"/>
  <c r="H32" i="123" s="1"/>
  <c r="K22" i="123"/>
  <c r="H24" i="123" s="1"/>
  <c r="H27" i="123" s="1"/>
  <c r="H47" i="123" s="1"/>
  <c r="K17" i="123"/>
  <c r="K13" i="123"/>
  <c r="K29" i="123" l="1"/>
  <c r="H48" i="123"/>
  <c r="H53" i="123" s="1"/>
  <c r="G30" i="34"/>
  <c r="G34" i="34" s="1"/>
  <c r="H34" i="34"/>
  <c r="H55" i="8"/>
  <c r="H52" i="8"/>
  <c r="H50" i="8"/>
  <c r="H51" i="8"/>
  <c r="H50" i="123"/>
  <c r="H55" i="123"/>
  <c r="H52" i="123"/>
  <c r="H51" i="123"/>
  <c r="K42" i="83"/>
  <c r="K22" i="83"/>
  <c r="K17" i="83"/>
  <c r="K41" i="83"/>
  <c r="K40" i="83"/>
  <c r="K32" i="83"/>
  <c r="J32" i="83" s="1"/>
  <c r="I32" i="83" s="1"/>
  <c r="H32" i="83" s="1"/>
  <c r="O32" i="83"/>
  <c r="K37" i="83"/>
  <c r="K13" i="83"/>
  <c r="K29" i="83" l="1"/>
  <c r="H24" i="83"/>
  <c r="H27" i="83" s="1"/>
  <c r="H47" i="83" s="1"/>
  <c r="H48" i="83"/>
  <c r="H53" i="83" s="1"/>
  <c r="K42" i="95"/>
  <c r="K41" i="95"/>
  <c r="K37" i="95"/>
  <c r="K22" i="95"/>
  <c r="K17" i="95"/>
  <c r="K13" i="95"/>
  <c r="H48" i="95" l="1"/>
  <c r="H53" i="95" s="1"/>
  <c r="H24" i="95"/>
  <c r="H27" i="95" s="1"/>
  <c r="H47" i="95" s="1"/>
  <c r="H51" i="83"/>
  <c r="H55" i="83"/>
  <c r="H52" i="83"/>
  <c r="H50" i="83"/>
  <c r="K29" i="95"/>
  <c r="M46" i="118"/>
  <c r="L46" i="118"/>
  <c r="K46" i="118"/>
  <c r="J46" i="118"/>
  <c r="J22" i="118"/>
  <c r="J17" i="118"/>
  <c r="O17" i="118"/>
  <c r="N17" i="118"/>
  <c r="J13" i="118"/>
  <c r="H55" i="95" l="1"/>
  <c r="H52" i="95"/>
  <c r="H50" i="95"/>
  <c r="H51" i="95"/>
  <c r="G24" i="118"/>
  <c r="G25" i="118" s="1"/>
  <c r="G27" i="118" s="1"/>
  <c r="G47" i="118" s="1"/>
  <c r="G31" i="121"/>
  <c r="J41" i="121"/>
  <c r="J32" i="121"/>
  <c r="I32" i="121" s="1"/>
  <c r="J22" i="121"/>
  <c r="J17" i="121"/>
  <c r="J13" i="121"/>
  <c r="J55" i="121"/>
  <c r="J46" i="121"/>
  <c r="K55" i="121"/>
  <c r="K46" i="121"/>
  <c r="K41" i="121"/>
  <c r="K22" i="121"/>
  <c r="K17" i="121"/>
  <c r="K13" i="121"/>
  <c r="K37" i="121"/>
  <c r="H32" i="121" l="1"/>
  <c r="G32" i="121" s="1"/>
  <c r="J29" i="121"/>
  <c r="G24" i="121"/>
  <c r="I37" i="121"/>
  <c r="J37" i="121"/>
  <c r="G55" i="118"/>
  <c r="G50" i="118"/>
  <c r="G51" i="118"/>
  <c r="G52" i="118"/>
  <c r="K29" i="121"/>
  <c r="H24" i="121"/>
  <c r="I42" i="80"/>
  <c r="I41" i="80"/>
  <c r="I16" i="80"/>
  <c r="I21" i="80" s="1"/>
  <c r="I36" i="80"/>
  <c r="H36" i="80" s="1"/>
  <c r="I29" i="80"/>
  <c r="I13" i="80"/>
  <c r="H25" i="121" l="1"/>
  <c r="H27" i="121" s="1"/>
  <c r="H47" i="121" s="1"/>
  <c r="G25" i="121"/>
  <c r="G27" i="121" s="1"/>
  <c r="G47" i="121" s="1"/>
  <c r="G36" i="121"/>
  <c r="G37" i="121" s="1"/>
  <c r="D48" i="121" s="1"/>
  <c r="D53" i="121" s="1"/>
  <c r="H37" i="121"/>
  <c r="H48" i="121" s="1"/>
  <c r="H53" i="121" s="1"/>
  <c r="I17" i="80"/>
  <c r="F16" i="80"/>
  <c r="G36" i="80"/>
  <c r="H37" i="80"/>
  <c r="I37" i="80"/>
  <c r="I40" i="9"/>
  <c r="I39" i="9"/>
  <c r="H39" i="9"/>
  <c r="H40" i="9"/>
  <c r="H55" i="9"/>
  <c r="H46" i="9"/>
  <c r="I37" i="9"/>
  <c r="F48" i="9" s="1"/>
  <c r="F53" i="9" s="1"/>
  <c r="L32" i="9"/>
  <c r="H22" i="9"/>
  <c r="H17" i="9"/>
  <c r="H13" i="9"/>
  <c r="H41" i="9" l="1"/>
  <c r="E48" i="121"/>
  <c r="E53" i="121" s="1"/>
  <c r="G52" i="121"/>
  <c r="G50" i="121"/>
  <c r="G51" i="121"/>
  <c r="H52" i="121"/>
  <c r="H51" i="121"/>
  <c r="H50" i="121"/>
  <c r="F48" i="121"/>
  <c r="F53" i="121" s="1"/>
  <c r="F17" i="80"/>
  <c r="F21" i="80"/>
  <c r="G37" i="80"/>
  <c r="F36" i="80"/>
  <c r="F37" i="80" s="1"/>
  <c r="E24" i="9"/>
  <c r="H29" i="9"/>
  <c r="G48" i="121"/>
  <c r="G53" i="121" s="1"/>
  <c r="F48" i="80" l="1"/>
  <c r="F53" i="80" s="1"/>
  <c r="D48" i="80"/>
  <c r="D53" i="80" s="1"/>
  <c r="E48" i="80"/>
  <c r="E53" i="80" s="1"/>
  <c r="E25" i="9"/>
  <c r="E27" i="9" s="1"/>
  <c r="E47" i="9" s="1"/>
  <c r="O30" i="103"/>
  <c r="K31" i="103"/>
  <c r="H31" i="103" s="1"/>
  <c r="K30" i="103"/>
  <c r="H30" i="103" s="1"/>
  <c r="P32" i="103"/>
  <c r="L32" i="103"/>
  <c r="P35" i="103"/>
  <c r="L36" i="103"/>
  <c r="P36" i="103"/>
  <c r="L35" i="103"/>
  <c r="K55" i="103"/>
  <c r="K40" i="103"/>
  <c r="K41" i="103" s="1"/>
  <c r="M37" i="103"/>
  <c r="K37" i="103"/>
  <c r="K22" i="103"/>
  <c r="K29" i="103" s="1"/>
  <c r="K17" i="103"/>
  <c r="K13" i="103"/>
  <c r="E52" i="9" l="1"/>
  <c r="E51" i="9"/>
  <c r="E50" i="9"/>
  <c r="H24" i="103"/>
  <c r="H25" i="103" s="1"/>
  <c r="H27" i="103" s="1"/>
  <c r="H47" i="103" s="1"/>
  <c r="H48" i="103"/>
  <c r="H53" i="103" s="1"/>
  <c r="L37" i="103"/>
  <c r="I48" i="103" s="1"/>
  <c r="I53" i="103" s="1"/>
  <c r="J48" i="103"/>
  <c r="J53" i="103" s="1"/>
  <c r="J40" i="82"/>
  <c r="J41" i="82" s="1"/>
  <c r="N32" i="82"/>
  <c r="J55" i="82"/>
  <c r="J47" i="82"/>
  <c r="J44" i="82"/>
  <c r="J22" i="82"/>
  <c r="J17" i="82"/>
  <c r="J13" i="82"/>
  <c r="H50" i="103" l="1"/>
  <c r="H52" i="103"/>
  <c r="H51" i="103"/>
  <c r="G24" i="82"/>
  <c r="G25" i="82" s="1"/>
  <c r="J29" i="82"/>
  <c r="J35" i="82" s="1"/>
  <c r="J37" i="82" s="1"/>
  <c r="J52" i="82"/>
  <c r="J50" i="82"/>
  <c r="J51" i="82"/>
  <c r="P48" i="97"/>
  <c r="R16" i="97"/>
  <c r="Q16" i="97" s="1"/>
  <c r="N17" i="97"/>
  <c r="R12" i="97"/>
  <c r="N13" i="97" s="1"/>
  <c r="S22" i="97"/>
  <c r="S17" i="97"/>
  <c r="O22" i="97"/>
  <c r="O17" i="97"/>
  <c r="O13" i="97"/>
  <c r="L40" i="97"/>
  <c r="K40" i="97" s="1"/>
  <c r="K41" i="97" s="1"/>
  <c r="L41" i="97" l="1"/>
  <c r="Q12" i="97"/>
  <c r="P12" i="97" s="1"/>
  <c r="M46" i="97" s="1"/>
  <c r="R22" i="97"/>
  <c r="P16" i="97"/>
  <c r="Q22" i="97"/>
  <c r="Q17" i="97"/>
  <c r="O46" i="97"/>
  <c r="N46" i="97"/>
  <c r="R17" i="97"/>
  <c r="M13" i="97"/>
  <c r="L22" i="97"/>
  <c r="N22" i="97"/>
  <c r="N29" i="97" s="1"/>
  <c r="O29" i="97"/>
  <c r="I32" i="96"/>
  <c r="I44" i="96"/>
  <c r="P46" i="97" l="1"/>
  <c r="P22" i="97"/>
  <c r="N24" i="97" s="1"/>
  <c r="N27" i="97" s="1"/>
  <c r="N47" i="97" s="1"/>
  <c r="P17" i="97"/>
  <c r="J46" i="97"/>
  <c r="K46" i="97"/>
  <c r="I46" i="97"/>
  <c r="L13" i="97"/>
  <c r="L46" i="97"/>
  <c r="M17" i="97"/>
  <c r="L17" i="97"/>
  <c r="M22" i="97"/>
  <c r="L29" i="97"/>
  <c r="I37" i="96"/>
  <c r="F48" i="96" s="1"/>
  <c r="F53" i="96" s="1"/>
  <c r="I39" i="96"/>
  <c r="I42" i="96"/>
  <c r="H42" i="96" s="1"/>
  <c r="G42" i="96" s="1"/>
  <c r="F42" i="96" s="1"/>
  <c r="E42" i="96" s="1"/>
  <c r="D42" i="96" s="1"/>
  <c r="C42" i="96" s="1"/>
  <c r="I17" i="96"/>
  <c r="I22" i="96"/>
  <c r="F24" i="96" s="1"/>
  <c r="F26" i="96" s="1"/>
  <c r="I13" i="96"/>
  <c r="F27" i="96" l="1"/>
  <c r="F47" i="96" s="1"/>
  <c r="F51" i="96" s="1"/>
  <c r="E26" i="96"/>
  <c r="C27" i="96" s="1"/>
  <c r="C47" i="96" s="1"/>
  <c r="F52" i="96"/>
  <c r="F50" i="96"/>
  <c r="F55" i="96"/>
  <c r="P24" i="97"/>
  <c r="P27" i="97" s="1"/>
  <c r="P47" i="97" s="1"/>
  <c r="O24" i="97"/>
  <c r="O27" i="97" s="1"/>
  <c r="O47" i="97" s="1"/>
  <c r="M24" i="97"/>
  <c r="M27" i="97" s="1"/>
  <c r="M47" i="97" s="1"/>
  <c r="I29" i="96"/>
  <c r="I34" i="96" s="1"/>
  <c r="L24" i="97"/>
  <c r="M29" i="97"/>
  <c r="O36" i="63"/>
  <c r="K40" i="63"/>
  <c r="K41" i="63"/>
  <c r="L16" i="63"/>
  <c r="M16" i="63"/>
  <c r="N16" i="63"/>
  <c r="K21" i="63"/>
  <c r="K16" i="63" s="1"/>
  <c r="K36" i="63"/>
  <c r="K29" i="63"/>
  <c r="K32" i="63"/>
  <c r="O32" i="63"/>
  <c r="O35" i="63"/>
  <c r="K35" i="63"/>
  <c r="K12" i="63"/>
  <c r="O12" i="63"/>
  <c r="K55" i="63"/>
  <c r="H46" i="63" l="1"/>
  <c r="G13" i="63"/>
  <c r="C50" i="96"/>
  <c r="C52" i="96"/>
  <c r="C51" i="96"/>
  <c r="C55" i="96"/>
  <c r="E27" i="96"/>
  <c r="E47" i="96" s="1"/>
  <c r="E55" i="96" s="1"/>
  <c r="D27" i="96"/>
  <c r="D47" i="96" s="1"/>
  <c r="L25" i="97"/>
  <c r="L27" i="97" s="1"/>
  <c r="L47" i="97" s="1"/>
  <c r="E51" i="96"/>
  <c r="E52" i="96"/>
  <c r="K37" i="63"/>
  <c r="J46" i="63"/>
  <c r="I46" i="63"/>
  <c r="K17" i="63"/>
  <c r="K46" i="63"/>
  <c r="K13" i="63"/>
  <c r="L22" i="89"/>
  <c r="I24" i="89" s="1"/>
  <c r="I25" i="89" s="1"/>
  <c r="I27" i="89" s="1"/>
  <c r="I47" i="89" s="1"/>
  <c r="L40" i="89"/>
  <c r="K40" i="89" s="1"/>
  <c r="L12" i="89"/>
  <c r="L46" i="89"/>
  <c r="E50" i="96" l="1"/>
  <c r="D50" i="96"/>
  <c r="D55" i="96"/>
  <c r="D52" i="96"/>
  <c r="D51" i="96"/>
  <c r="L51" i="97"/>
  <c r="L52" i="97"/>
  <c r="L50" i="97"/>
  <c r="L55" i="97"/>
  <c r="L17" i="89"/>
  <c r="H13" i="89"/>
  <c r="I46" i="89"/>
  <c r="J46" i="89"/>
  <c r="K46" i="89"/>
  <c r="J40" i="89"/>
  <c r="K41" i="89"/>
  <c r="L41" i="89"/>
  <c r="H48" i="63"/>
  <c r="H53" i="63" s="1"/>
  <c r="L29" i="89"/>
  <c r="H32" i="111"/>
  <c r="O36" i="111"/>
  <c r="K36" i="111"/>
  <c r="H36" i="111" s="1"/>
  <c r="H37" i="111" s="1"/>
  <c r="E48" i="111" s="1"/>
  <c r="E53" i="111" s="1"/>
  <c r="O30" i="111"/>
  <c r="K31" i="111"/>
  <c r="H31" i="111" s="1"/>
  <c r="O31" i="111"/>
  <c r="O32" i="111"/>
  <c r="K12" i="111"/>
  <c r="K40" i="111"/>
  <c r="K41" i="111" s="1"/>
  <c r="G14" i="111" l="1"/>
  <c r="G13" i="111"/>
  <c r="F48" i="111"/>
  <c r="F53" i="111" s="1"/>
  <c r="G48" i="111"/>
  <c r="G53" i="111" s="1"/>
  <c r="I40" i="89"/>
  <c r="J41" i="89"/>
  <c r="H12" i="111"/>
  <c r="D13" i="111" s="1"/>
  <c r="H48" i="111"/>
  <c r="H53" i="111" s="1"/>
  <c r="L40" i="111"/>
  <c r="L41" i="111" s="1"/>
  <c r="L12" i="111"/>
  <c r="K46" i="111" s="1"/>
  <c r="K37" i="111"/>
  <c r="K13" i="111"/>
  <c r="K22" i="111"/>
  <c r="K17" i="111"/>
  <c r="L22" i="111"/>
  <c r="L29" i="111" s="1"/>
  <c r="P12" i="111"/>
  <c r="E46" i="111" l="1"/>
  <c r="F46" i="111"/>
  <c r="G46" i="111"/>
  <c r="I46" i="111"/>
  <c r="L13" i="111"/>
  <c r="L17" i="111"/>
  <c r="J46" i="111"/>
  <c r="H46" i="111"/>
  <c r="H13" i="111"/>
  <c r="H17" i="111"/>
  <c r="L46" i="111"/>
  <c r="I41" i="89"/>
  <c r="I50" i="89"/>
  <c r="K29" i="111"/>
  <c r="I24" i="111"/>
  <c r="I26" i="111" s="1"/>
  <c r="I27" i="111" s="1"/>
  <c r="I47" i="111" s="1"/>
  <c r="H24" i="111"/>
  <c r="L37" i="111"/>
  <c r="I48" i="111"/>
  <c r="I53" i="111" s="1"/>
  <c r="P32" i="113"/>
  <c r="L32" i="113"/>
  <c r="H26" i="111" l="1"/>
  <c r="H27" i="111" s="1"/>
  <c r="H47" i="111" s="1"/>
  <c r="I52" i="89"/>
  <c r="I51" i="89"/>
  <c r="I55" i="111"/>
  <c r="I50" i="111"/>
  <c r="I52" i="111"/>
  <c r="I51" i="111"/>
  <c r="K32" i="113"/>
  <c r="O32" i="113"/>
  <c r="K37" i="113"/>
  <c r="L37" i="113"/>
  <c r="Q32" i="113"/>
  <c r="M32" i="113"/>
  <c r="K41" i="113"/>
  <c r="K22" i="113"/>
  <c r="K17" i="113"/>
  <c r="K13" i="113"/>
  <c r="L41" i="113"/>
  <c r="K46" i="113"/>
  <c r="L46" i="113"/>
  <c r="L22" i="113"/>
  <c r="L17" i="113"/>
  <c r="H52" i="111" l="1"/>
  <c r="H50" i="111"/>
  <c r="H55" i="111"/>
  <c r="H51" i="111"/>
  <c r="K29" i="113"/>
  <c r="H24" i="113"/>
  <c r="H25" i="113" s="1"/>
  <c r="H27" i="113" s="1"/>
  <c r="H47" i="113" s="1"/>
  <c r="I24" i="113"/>
  <c r="H48" i="113"/>
  <c r="H53" i="113" s="1"/>
  <c r="I48" i="113"/>
  <c r="I53" i="113" s="1"/>
  <c r="L29" i="113"/>
  <c r="K41" i="131"/>
  <c r="K29" i="131"/>
  <c r="K24" i="131"/>
  <c r="K26" i="131" s="1"/>
  <c r="K13" i="131"/>
  <c r="I25" i="113" l="1"/>
  <c r="I27" i="113"/>
  <c r="I47" i="113" s="1"/>
  <c r="H50" i="113"/>
  <c r="H51" i="113"/>
  <c r="H52" i="113"/>
  <c r="K27" i="131"/>
  <c r="K47" i="131" s="1"/>
  <c r="K55" i="131" s="1"/>
  <c r="I50" i="113" l="1"/>
  <c r="I51" i="113"/>
  <c r="I52" i="113"/>
  <c r="K50" i="131"/>
  <c r="K51" i="131"/>
  <c r="K52" i="131"/>
  <c r="K12" i="47"/>
  <c r="G13" i="47" s="1"/>
  <c r="K41" i="47"/>
  <c r="O31" i="47"/>
  <c r="K36" i="47"/>
  <c r="K37" i="47" l="1"/>
  <c r="J46" i="47"/>
  <c r="H46" i="47"/>
  <c r="I46" i="47"/>
  <c r="H48" i="47"/>
  <c r="H53" i="47" s="1"/>
  <c r="K46" i="47"/>
  <c r="K40" i="120"/>
  <c r="K41" i="120" s="1"/>
  <c r="L31" i="120"/>
  <c r="L35" i="120"/>
  <c r="L40" i="120"/>
  <c r="L39" i="120"/>
  <c r="L41" i="120" s="1"/>
  <c r="L55" i="120"/>
  <c r="K37" i="120"/>
  <c r="K32" i="120"/>
  <c r="K29" i="120"/>
  <c r="K17" i="120"/>
  <c r="M46" i="120"/>
  <c r="I27" i="120"/>
  <c r="I47" i="120" s="1"/>
  <c r="H48" i="120" l="1"/>
  <c r="H53" i="120" s="1"/>
  <c r="I52" i="120"/>
  <c r="I55" i="120"/>
  <c r="I51" i="120"/>
  <c r="I50" i="120"/>
  <c r="L29" i="120"/>
  <c r="L30" i="120"/>
  <c r="L32" i="120"/>
  <c r="L36" i="120"/>
  <c r="L37" i="120" s="1"/>
  <c r="I48" i="120" l="1"/>
  <c r="I53" i="120" s="1"/>
  <c r="L13" i="120"/>
  <c r="K46" i="120"/>
  <c r="L46" i="120"/>
  <c r="L17" i="120"/>
  <c r="I40" i="81"/>
  <c r="I41" i="81" s="1"/>
  <c r="M35" i="81"/>
  <c r="I35" i="81"/>
  <c r="I55" i="81"/>
  <c r="I46" i="81"/>
  <c r="I22" i="81"/>
  <c r="I29" i="81" s="1"/>
  <c r="I17" i="81"/>
  <c r="I13" i="81"/>
  <c r="F24" i="81" l="1"/>
  <c r="F25" i="81" l="1"/>
  <c r="F27" i="81" s="1"/>
  <c r="F47" i="81" s="1"/>
  <c r="H19" i="107"/>
  <c r="H12" i="107"/>
  <c r="D12" i="107"/>
  <c r="D46" i="107" s="1"/>
  <c r="D19" i="107"/>
  <c r="C19" i="107" s="1"/>
  <c r="D41" i="107"/>
  <c r="D31" i="107"/>
  <c r="H31" i="107"/>
  <c r="D30" i="107"/>
  <c r="H30" i="107"/>
  <c r="F52" i="81" l="1"/>
  <c r="F50" i="81"/>
  <c r="F51" i="81"/>
  <c r="B46" i="107"/>
  <c r="C46" i="107"/>
  <c r="D13" i="107"/>
  <c r="L40" i="54"/>
  <c r="L41" i="54" s="1"/>
  <c r="L55" i="54"/>
  <c r="L46" i="54"/>
  <c r="L37" i="54"/>
  <c r="I48" i="54" s="1"/>
  <c r="I53" i="54" s="1"/>
  <c r="L22" i="54"/>
  <c r="L17" i="54"/>
  <c r="L13" i="54"/>
  <c r="L29" i="54" l="1"/>
  <c r="I24" i="54"/>
  <c r="I27" i="54" s="1"/>
  <c r="I47" i="54" s="1"/>
  <c r="N32" i="96"/>
  <c r="J40" i="96"/>
  <c r="I40" i="96" s="1"/>
  <c r="J22" i="96"/>
  <c r="C104" i="1"/>
  <c r="I52" i="54" l="1"/>
  <c r="I51" i="54"/>
  <c r="I50" i="54"/>
  <c r="J41" i="96"/>
  <c r="I41" i="96" s="1"/>
  <c r="J37" i="96"/>
  <c r="J29" i="96"/>
  <c r="G24" i="96"/>
  <c r="K55" i="133"/>
  <c r="N22" i="133"/>
  <c r="M22" i="133"/>
  <c r="N17" i="133"/>
  <c r="L10" i="133"/>
  <c r="M10" i="133" s="1"/>
  <c r="N10" i="133" s="1"/>
  <c r="O107" i="1"/>
  <c r="G48" i="96" l="1"/>
  <c r="G53" i="96" s="1"/>
  <c r="R22" i="98"/>
  <c r="R29" i="98" s="1"/>
  <c r="R17" i="98"/>
  <c r="Q22" i="98"/>
  <c r="Q29" i="98" s="1"/>
  <c r="Q17" i="98"/>
  <c r="P22" i="98"/>
  <c r="P29" i="98" s="1"/>
  <c r="L22" i="98"/>
  <c r="L17" i="98"/>
  <c r="L41" i="98"/>
  <c r="P12" i="98"/>
  <c r="P17" i="98" s="1"/>
  <c r="C107" i="1"/>
  <c r="L13" i="98" l="1"/>
  <c r="L29" i="98"/>
  <c r="I24" i="98"/>
  <c r="I27" i="98" s="1"/>
  <c r="I47" i="98" s="1"/>
  <c r="O22" i="128"/>
  <c r="O29" i="128" s="1"/>
  <c r="K41" i="128"/>
  <c r="L40" i="128"/>
  <c r="K22" i="128"/>
  <c r="I104" i="1"/>
  <c r="I55" i="98" l="1"/>
  <c r="I52" i="98"/>
  <c r="I51" i="98"/>
  <c r="I50" i="98"/>
  <c r="K46" i="128"/>
  <c r="H46" i="128"/>
  <c r="H24" i="128"/>
  <c r="K29" i="128"/>
  <c r="K13" i="128"/>
  <c r="K17" i="128"/>
  <c r="I46" i="128"/>
  <c r="J46" i="128"/>
  <c r="E104" i="1"/>
  <c r="F104" i="1"/>
  <c r="O104" i="1"/>
  <c r="J104" i="1"/>
  <c r="H25" i="128" l="1"/>
  <c r="H27" i="128" s="1"/>
  <c r="H47" i="128" s="1"/>
  <c r="S22" i="116"/>
  <c r="S17" i="116"/>
  <c r="R22" i="116"/>
  <c r="R17" i="116"/>
  <c r="P46" i="116"/>
  <c r="O46" i="116"/>
  <c r="O13" i="116"/>
  <c r="N13" i="116"/>
  <c r="L46" i="116"/>
  <c r="L41" i="116"/>
  <c r="L22" i="116"/>
  <c r="L17" i="116"/>
  <c r="L13" i="116"/>
  <c r="I24" i="116" l="1"/>
  <c r="H50" i="128"/>
  <c r="H55" i="128"/>
  <c r="H51" i="128"/>
  <c r="H52" i="128"/>
  <c r="L29" i="116"/>
  <c r="I26" i="116" l="1"/>
  <c r="I27" i="116" s="1"/>
  <c r="I47" i="116" s="1"/>
  <c r="P46" i="19"/>
  <c r="O46" i="19"/>
  <c r="N46" i="19"/>
  <c r="L55" i="19"/>
  <c r="L46" i="19"/>
  <c r="L39" i="19"/>
  <c r="L41" i="19" s="1"/>
  <c r="L22" i="19"/>
  <c r="I24" i="19" s="1"/>
  <c r="I25" i="19" s="1"/>
  <c r="L17" i="19"/>
  <c r="I50" i="116" l="1"/>
  <c r="I51" i="116"/>
  <c r="I52" i="116"/>
  <c r="I27" i="19"/>
  <c r="I47" i="19" s="1"/>
  <c r="L29" i="19"/>
  <c r="K40" i="129"/>
  <c r="K41" i="129" s="1"/>
  <c r="L40" i="129"/>
  <c r="L41" i="129" s="1"/>
  <c r="K30" i="129"/>
  <c r="K31" i="129"/>
  <c r="O31" i="129"/>
  <c r="O30" i="129"/>
  <c r="K32" i="129"/>
  <c r="O32" i="129"/>
  <c r="O36" i="129"/>
  <c r="K36" i="129"/>
  <c r="K35" i="129"/>
  <c r="O35" i="129"/>
  <c r="O12" i="129"/>
  <c r="K12" i="129"/>
  <c r="K16" i="129"/>
  <c r="K46" i="129" l="1"/>
  <c r="G13" i="129"/>
  <c r="H46" i="129"/>
  <c r="I46" i="129"/>
  <c r="J46" i="129"/>
  <c r="I52" i="19"/>
  <c r="I50" i="19"/>
  <c r="I51" i="19"/>
  <c r="K37" i="129"/>
  <c r="H48" i="129" s="1"/>
  <c r="H53" i="129" s="1"/>
  <c r="K22" i="129"/>
  <c r="K17" i="129"/>
  <c r="K13" i="129"/>
  <c r="K29" i="129" l="1"/>
  <c r="H24" i="129"/>
  <c r="G36" i="106"/>
  <c r="G35" i="106"/>
  <c r="G37" i="106" s="1"/>
  <c r="C40" i="106"/>
  <c r="G21" i="106"/>
  <c r="G12" i="106"/>
  <c r="C48" i="106"/>
  <c r="C36" i="106"/>
  <c r="C35" i="106"/>
  <c r="C37" i="106" s="1"/>
  <c r="C29" i="106"/>
  <c r="C42" i="106"/>
  <c r="C41" i="106"/>
  <c r="C21" i="106"/>
  <c r="C12" i="106"/>
  <c r="C13" i="106" s="1"/>
  <c r="C53" i="106"/>
  <c r="H25" i="129" l="1"/>
  <c r="H27" i="129" s="1"/>
  <c r="H47" i="129" s="1"/>
  <c r="K40" i="118"/>
  <c r="K41" i="118" s="1"/>
  <c r="K13" i="118"/>
  <c r="K22" i="118"/>
  <c r="K17" i="118"/>
  <c r="H50" i="129" l="1"/>
  <c r="H55" i="129"/>
  <c r="H51" i="129"/>
  <c r="H52" i="129"/>
  <c r="H24" i="118"/>
  <c r="H25" i="118" s="1"/>
  <c r="H27" i="118" s="1"/>
  <c r="H47" i="118" s="1"/>
  <c r="K46" i="58"/>
  <c r="H50" i="118" l="1"/>
  <c r="H52" i="118"/>
  <c r="H51" i="118"/>
  <c r="H55" i="118"/>
  <c r="K12" i="58"/>
  <c r="G13" i="58" s="1"/>
  <c r="K55" i="58" l="1"/>
  <c r="K41" i="58"/>
  <c r="K53" i="58" s="1"/>
  <c r="K22" i="58"/>
  <c r="H24" i="58" s="1"/>
  <c r="H25" i="58" s="1"/>
  <c r="H27" i="58" s="1"/>
  <c r="K17" i="58"/>
  <c r="H47" i="58" l="1"/>
  <c r="K46" i="65"/>
  <c r="K40" i="65"/>
  <c r="K37" i="65"/>
  <c r="H48" i="65" s="1"/>
  <c r="H53" i="65" s="1"/>
  <c r="K22" i="65"/>
  <c r="K29" i="65" s="1"/>
  <c r="K34" i="65" s="1"/>
  <c r="K17" i="65"/>
  <c r="K13" i="65"/>
  <c r="H24" i="65" l="1"/>
  <c r="H51" i="58"/>
  <c r="H50" i="58"/>
  <c r="H52" i="58"/>
  <c r="K55" i="72"/>
  <c r="K46" i="72"/>
  <c r="K41" i="72"/>
  <c r="K27" i="72"/>
  <c r="K47" i="72" s="1"/>
  <c r="K50" i="72" s="1"/>
  <c r="K22" i="72"/>
  <c r="K17" i="72"/>
  <c r="K13" i="72"/>
  <c r="K29" i="72" l="1"/>
  <c r="K35" i="72" s="1"/>
  <c r="K37" i="72" s="1"/>
  <c r="H24" i="72"/>
  <c r="H27" i="72" s="1"/>
  <c r="H47" i="72" s="1"/>
  <c r="H25" i="65"/>
  <c r="H27" i="65"/>
  <c r="H47" i="65" s="1"/>
  <c r="K52" i="72"/>
  <c r="K51" i="72"/>
  <c r="N16" i="20"/>
  <c r="H50" i="65" l="1"/>
  <c r="H55" i="65"/>
  <c r="H52" i="65"/>
  <c r="H51" i="65"/>
  <c r="H52" i="72"/>
  <c r="H51" i="72"/>
  <c r="H50" i="72"/>
  <c r="H48" i="72"/>
  <c r="H53" i="72" s="1"/>
  <c r="J22" i="20"/>
  <c r="G24" i="20" l="1"/>
  <c r="G27" i="20"/>
  <c r="G47" i="20" s="1"/>
  <c r="J40" i="20"/>
  <c r="J41" i="20" s="1"/>
  <c r="P36" i="20"/>
  <c r="P35" i="20"/>
  <c r="J29" i="20"/>
  <c r="K22" i="20"/>
  <c r="H24" i="20" s="1"/>
  <c r="J12" i="20"/>
  <c r="J17" i="20" s="1"/>
  <c r="J55" i="20"/>
  <c r="J46" i="20" l="1"/>
  <c r="F13" i="20"/>
  <c r="G46" i="20"/>
  <c r="H27" i="20"/>
  <c r="H47" i="20" s="1"/>
  <c r="H51" i="20" s="1"/>
  <c r="G51" i="20"/>
  <c r="G50" i="20"/>
  <c r="G52" i="20"/>
  <c r="H46" i="20"/>
  <c r="I46" i="20"/>
  <c r="O30" i="13"/>
  <c r="K55" i="13"/>
  <c r="K46" i="13"/>
  <c r="K41" i="13"/>
  <c r="K37" i="13"/>
  <c r="H48" i="13" s="1"/>
  <c r="H53" i="13" s="1"/>
  <c r="K17" i="13"/>
  <c r="K13" i="13"/>
  <c r="H50" i="20" l="1"/>
  <c r="H52" i="20"/>
  <c r="K46" i="27"/>
  <c r="K41" i="27"/>
  <c r="K37" i="27"/>
  <c r="K22" i="27"/>
  <c r="K29" i="27" s="1"/>
  <c r="K34" i="27" s="1"/>
  <c r="K17" i="27"/>
  <c r="K13" i="27"/>
  <c r="H48" i="27" l="1"/>
  <c r="H53" i="27" s="1"/>
  <c r="H24" i="27"/>
  <c r="H26" i="27" s="1"/>
  <c r="I40" i="68"/>
  <c r="I41" i="68" s="1"/>
  <c r="I55" i="68"/>
  <c r="I12" i="68"/>
  <c r="I25" i="68"/>
  <c r="I20" i="68"/>
  <c r="I22" i="68"/>
  <c r="F24" i="68" l="1"/>
  <c r="F25" i="68" s="1"/>
  <c r="F27" i="68" s="1"/>
  <c r="F47" i="68" s="1"/>
  <c r="G24" i="68"/>
  <c r="H24" i="68"/>
  <c r="E13" i="68"/>
  <c r="F46" i="68"/>
  <c r="G46" i="68"/>
  <c r="H46" i="68"/>
  <c r="I46" i="68"/>
  <c r="I24" i="68"/>
  <c r="I27" i="68" s="1"/>
  <c r="I47" i="68" s="1"/>
  <c r="H27" i="27"/>
  <c r="H47" i="27" s="1"/>
  <c r="I29" i="68"/>
  <c r="I51" i="68"/>
  <c r="L47" i="76"/>
  <c r="M27" i="76"/>
  <c r="M26" i="76" s="1"/>
  <c r="L26" i="76"/>
  <c r="L40" i="76"/>
  <c r="K40" i="76" s="1"/>
  <c r="J40" i="76" s="1"/>
  <c r="L39" i="76"/>
  <c r="K39" i="76" s="1"/>
  <c r="Q32" i="76"/>
  <c r="M37" i="76"/>
  <c r="L37" i="76"/>
  <c r="I48" i="76" s="1"/>
  <c r="L22" i="76"/>
  <c r="L29" i="76" s="1"/>
  <c r="L17" i="76"/>
  <c r="L13" i="76"/>
  <c r="H50" i="27" l="1"/>
  <c r="H55" i="27"/>
  <c r="H51" i="27"/>
  <c r="H52" i="27"/>
  <c r="J48" i="76"/>
  <c r="J39" i="76"/>
  <c r="K41" i="76"/>
  <c r="K50" i="76"/>
  <c r="I52" i="68"/>
  <c r="I50" i="68"/>
  <c r="H25" i="68"/>
  <c r="H27" i="68" s="1"/>
  <c r="H47" i="68" s="1"/>
  <c r="G25" i="68"/>
  <c r="G27" i="68" s="1"/>
  <c r="G47" i="68" s="1"/>
  <c r="F50" i="68"/>
  <c r="F51" i="68"/>
  <c r="F52" i="68"/>
  <c r="L41" i="76"/>
  <c r="L51" i="76" s="1"/>
  <c r="L50" i="76"/>
  <c r="L29" i="26"/>
  <c r="K37" i="26"/>
  <c r="K32" i="26"/>
  <c r="J32" i="26" s="1"/>
  <c r="I32" i="26" s="1"/>
  <c r="H32" i="26" s="1"/>
  <c r="K31" i="26"/>
  <c r="J31" i="26" s="1"/>
  <c r="I31" i="26" s="1"/>
  <c r="H31" i="26" s="1"/>
  <c r="K30" i="26"/>
  <c r="K29" i="26"/>
  <c r="K46" i="26"/>
  <c r="K24" i="26"/>
  <c r="K25" i="26" s="1"/>
  <c r="K27" i="26" s="1"/>
  <c r="K47" i="26" s="1"/>
  <c r="L24" i="26"/>
  <c r="L25" i="26" s="1"/>
  <c r="K21" i="26"/>
  <c r="L21" i="26"/>
  <c r="K17" i="26"/>
  <c r="L17" i="26"/>
  <c r="K13" i="26"/>
  <c r="L13" i="26"/>
  <c r="J30" i="26" l="1"/>
  <c r="I30" i="26" s="1"/>
  <c r="H30" i="26" s="1"/>
  <c r="G52" i="68"/>
  <c r="G50" i="68"/>
  <c r="G51" i="68"/>
  <c r="H52" i="68"/>
  <c r="H50" i="68"/>
  <c r="H51" i="68"/>
  <c r="H48" i="26"/>
  <c r="H53" i="26" s="1"/>
  <c r="K52" i="76"/>
  <c r="K51" i="76"/>
  <c r="J41" i="76"/>
  <c r="J53" i="76" s="1"/>
  <c r="I39" i="76"/>
  <c r="J50" i="76"/>
  <c r="L27" i="26"/>
  <c r="K52" i="26"/>
  <c r="K50" i="26"/>
  <c r="K51" i="26"/>
  <c r="K55" i="26"/>
  <c r="L52" i="76"/>
  <c r="I41" i="9"/>
  <c r="I46" i="9"/>
  <c r="I55" i="9"/>
  <c r="I22" i="9"/>
  <c r="I17" i="9"/>
  <c r="I13" i="9"/>
  <c r="I29" i="9" l="1"/>
  <c r="F24" i="9"/>
  <c r="F27" i="9" s="1"/>
  <c r="F47" i="9" s="1"/>
  <c r="H39" i="76"/>
  <c r="I41" i="76"/>
  <c r="I50" i="76"/>
  <c r="J51" i="76"/>
  <c r="J52" i="76"/>
  <c r="L41" i="103"/>
  <c r="L55" i="103"/>
  <c r="P16" i="103"/>
  <c r="L22" i="103"/>
  <c r="L17" i="103"/>
  <c r="L13" i="103"/>
  <c r="I24" i="103" l="1"/>
  <c r="I52" i="76"/>
  <c r="I51" i="76"/>
  <c r="I53" i="76"/>
  <c r="L29" i="103"/>
  <c r="H41" i="76"/>
  <c r="H50" i="76"/>
  <c r="F50" i="9"/>
  <c r="F51" i="9"/>
  <c r="F52" i="9"/>
  <c r="E32" i="101"/>
  <c r="C40" i="101"/>
  <c r="C41" i="101" s="1"/>
  <c r="C36" i="101"/>
  <c r="C32" i="101"/>
  <c r="C35" i="101"/>
  <c r="C37" i="101" s="1"/>
  <c r="B48" i="101" s="1"/>
  <c r="B53" i="101" s="1"/>
  <c r="C31" i="101"/>
  <c r="C30" i="101"/>
  <c r="C16" i="101"/>
  <c r="C22" i="101" s="1"/>
  <c r="B24" i="101" s="1"/>
  <c r="B27" i="101" s="1"/>
  <c r="B47" i="101" s="1"/>
  <c r="D13" i="101"/>
  <c r="C12" i="101"/>
  <c r="B46" i="101" s="1"/>
  <c r="J55" i="101"/>
  <c r="B50" i="101" l="1"/>
  <c r="B55" i="101"/>
  <c r="B51" i="101"/>
  <c r="B52" i="101"/>
  <c r="I25" i="103"/>
  <c r="I27" i="103"/>
  <c r="I47" i="103" s="1"/>
  <c r="C46" i="101"/>
  <c r="H52" i="76"/>
  <c r="H51" i="76"/>
  <c r="H53" i="76"/>
  <c r="C29" i="101"/>
  <c r="C34" i="101"/>
  <c r="C17" i="101"/>
  <c r="I51" i="103" l="1"/>
  <c r="I52" i="103"/>
  <c r="I50" i="103"/>
  <c r="K12" i="82"/>
  <c r="K13" i="82" s="1"/>
  <c r="O12" i="82"/>
  <c r="K41" i="82"/>
  <c r="K55" i="82"/>
  <c r="K47" i="82"/>
  <c r="K22" i="82"/>
  <c r="K17" i="82" l="1"/>
  <c r="H24" i="82"/>
  <c r="H25" i="82" s="1"/>
  <c r="G13" i="82"/>
  <c r="H46" i="82"/>
  <c r="I46" i="82"/>
  <c r="J46" i="82"/>
  <c r="K29" i="82"/>
  <c r="K35" i="82" s="1"/>
  <c r="K37" i="82" s="1"/>
  <c r="K46" i="82"/>
  <c r="K52" i="82"/>
  <c r="K50" i="82"/>
  <c r="K51" i="82"/>
  <c r="K40" i="132" l="1"/>
  <c r="K41" i="132" s="1"/>
  <c r="K13" i="132"/>
  <c r="L10" i="132"/>
  <c r="M10" i="132" s="1"/>
  <c r="N10" i="132" s="1"/>
  <c r="O10" i="132" s="1"/>
  <c r="C88" i="1"/>
  <c r="K53" i="132" l="1"/>
  <c r="K55" i="132"/>
  <c r="K52" i="132"/>
  <c r="K51" i="132"/>
  <c r="K50" i="132"/>
  <c r="J42" i="42"/>
  <c r="O88" i="1"/>
  <c r="K41" i="42" l="1"/>
  <c r="J41" i="42"/>
  <c r="J32" i="42"/>
  <c r="I32" i="42" s="1"/>
  <c r="H32" i="42" s="1"/>
  <c r="G32" i="42" s="1"/>
  <c r="J37" i="42"/>
  <c r="J16" i="42"/>
  <c r="J13" i="42"/>
  <c r="I88" i="1"/>
  <c r="J22" i="42" l="1"/>
  <c r="G16" i="42"/>
  <c r="J17" i="42"/>
  <c r="G48" i="42"/>
  <c r="G53" i="42" s="1"/>
  <c r="M16" i="119"/>
  <c r="L16" i="119"/>
  <c r="K16" i="119"/>
  <c r="J16" i="119"/>
  <c r="I16" i="119"/>
  <c r="H16" i="119"/>
  <c r="G16" i="119"/>
  <c r="J12" i="119"/>
  <c r="F47" i="119"/>
  <c r="F37" i="119"/>
  <c r="O33" i="119"/>
  <c r="N33" i="119"/>
  <c r="M33" i="119"/>
  <c r="L33" i="119"/>
  <c r="K33" i="119"/>
  <c r="J33" i="119"/>
  <c r="I33" i="119"/>
  <c r="H33" i="119"/>
  <c r="F33" i="119"/>
  <c r="F29" i="119"/>
  <c r="F16" i="119"/>
  <c r="F17" i="119" s="1"/>
  <c r="F88" i="1"/>
  <c r="E88" i="1"/>
  <c r="F48" i="119" l="1"/>
  <c r="E48" i="119" s="1"/>
  <c r="E53" i="119" s="1"/>
  <c r="B48" i="119"/>
  <c r="B53" i="119" s="1"/>
  <c r="G17" i="42"/>
  <c r="G22" i="42"/>
  <c r="D24" i="42" s="1"/>
  <c r="D27" i="42" s="1"/>
  <c r="D47" i="42" s="1"/>
  <c r="J29" i="42"/>
  <c r="F13" i="119"/>
  <c r="F53" i="119"/>
  <c r="F52" i="119"/>
  <c r="F46" i="119"/>
  <c r="F50" i="119"/>
  <c r="F51" i="119"/>
  <c r="F55" i="119"/>
  <c r="F34" i="119"/>
  <c r="K40" i="73"/>
  <c r="K41" i="73" s="1"/>
  <c r="O32" i="73"/>
  <c r="K33" i="73"/>
  <c r="K37" i="73"/>
  <c r="K22" i="73"/>
  <c r="K29" i="73" s="1"/>
  <c r="K17" i="73"/>
  <c r="K13" i="73"/>
  <c r="J88" i="1"/>
  <c r="D52" i="42" l="1"/>
  <c r="D50" i="42"/>
  <c r="D55" i="42"/>
  <c r="D51" i="42"/>
  <c r="K34" i="73"/>
  <c r="E24" i="42"/>
  <c r="E27" i="42" s="1"/>
  <c r="E47" i="42" s="1"/>
  <c r="F24" i="42"/>
  <c r="F27" i="42" s="1"/>
  <c r="F47" i="42" s="1"/>
  <c r="G24" i="42"/>
  <c r="G27" i="42" s="1"/>
  <c r="G47" i="42" s="1"/>
  <c r="G29" i="42"/>
  <c r="H24" i="73"/>
  <c r="P48" i="15"/>
  <c r="S35" i="15"/>
  <c r="R35" i="15" s="1"/>
  <c r="Q35" i="15" s="1"/>
  <c r="P35" i="15" s="1"/>
  <c r="O35" i="15"/>
  <c r="N35" i="15" s="1"/>
  <c r="M35" i="15" s="1"/>
  <c r="L35" i="15" s="1"/>
  <c r="G50" i="42" l="1"/>
  <c r="G55" i="42"/>
  <c r="G52" i="42"/>
  <c r="G51" i="42"/>
  <c r="F50" i="42"/>
  <c r="F51" i="42"/>
  <c r="F55" i="42"/>
  <c r="F52" i="42"/>
  <c r="E52" i="42"/>
  <c r="E55" i="42"/>
  <c r="E50" i="42"/>
  <c r="E51" i="42"/>
  <c r="H25" i="73"/>
  <c r="H27" i="73"/>
  <c r="H47" i="73" s="1"/>
  <c r="R31" i="15"/>
  <c r="Q31" i="15" s="1"/>
  <c r="P31" i="15" s="1"/>
  <c r="R30" i="15"/>
  <c r="Q30" i="15" s="1"/>
  <c r="P30" i="15" s="1"/>
  <c r="S36" i="15"/>
  <c r="R36" i="15" s="1"/>
  <c r="Q36" i="15" s="1"/>
  <c r="P36" i="15" s="1"/>
  <c r="S32" i="15"/>
  <c r="R32" i="15" s="1"/>
  <c r="Q32" i="15" s="1"/>
  <c r="P32" i="15" s="1"/>
  <c r="O36" i="15"/>
  <c r="N36" i="15" s="1"/>
  <c r="M36" i="15" s="1"/>
  <c r="L36" i="15" s="1"/>
  <c r="L22" i="15"/>
  <c r="P12" i="15"/>
  <c r="L12" i="15"/>
  <c r="P16" i="15"/>
  <c r="L40" i="15"/>
  <c r="S17" i="15"/>
  <c r="S37" i="15" l="1"/>
  <c r="L13" i="15"/>
  <c r="H13" i="15"/>
  <c r="I46" i="15"/>
  <c r="J46" i="15"/>
  <c r="K46" i="15"/>
  <c r="H52" i="73"/>
  <c r="H50" i="73"/>
  <c r="H51" i="73"/>
  <c r="H55" i="73"/>
  <c r="I24" i="15"/>
  <c r="I27" i="15" s="1"/>
  <c r="I47" i="15" s="1"/>
  <c r="L46" i="15"/>
  <c r="L29" i="15"/>
  <c r="R37" i="15"/>
  <c r="L17" i="15"/>
  <c r="C40" i="29"/>
  <c r="B40" i="29" s="1"/>
  <c r="B41" i="29" s="1"/>
  <c r="C12" i="29"/>
  <c r="B46" i="29" s="1"/>
  <c r="C46" i="29" l="1"/>
  <c r="C41" i="29"/>
  <c r="I50" i="15"/>
  <c r="I55" i="15"/>
  <c r="I51" i="15"/>
  <c r="I52" i="15"/>
  <c r="Q37" i="15"/>
  <c r="K13" i="108"/>
  <c r="K46" i="108"/>
  <c r="K41" i="108"/>
  <c r="K17" i="108"/>
  <c r="K21" i="108"/>
  <c r="K22" i="108" s="1"/>
  <c r="H24" i="108" l="1"/>
  <c r="H25" i="108" s="1"/>
  <c r="H27" i="108" s="1"/>
  <c r="H47" i="108" s="1"/>
  <c r="K29" i="108"/>
  <c r="F40" i="112"/>
  <c r="F41" i="112" s="1"/>
  <c r="F16" i="112"/>
  <c r="F29" i="112"/>
  <c r="F24" i="112"/>
  <c r="F27" i="112" s="1"/>
  <c r="F12" i="112"/>
  <c r="F55" i="112"/>
  <c r="F17" i="112" l="1"/>
  <c r="B13" i="112"/>
  <c r="C46" i="112"/>
  <c r="H55" i="108"/>
  <c r="H50" i="108"/>
  <c r="H51" i="108"/>
  <c r="H52" i="108"/>
  <c r="D46" i="112"/>
  <c r="E46" i="112"/>
  <c r="F46" i="112"/>
  <c r="F47" i="112"/>
  <c r="F51" i="112" s="1"/>
  <c r="I45" i="1"/>
  <c r="F52" i="112" l="1"/>
  <c r="F50" i="112"/>
  <c r="L27" i="28"/>
  <c r="L47" i="28" s="1"/>
  <c r="L46" i="28"/>
  <c r="L41" i="28"/>
  <c r="L22" i="28"/>
  <c r="I24" i="28" s="1"/>
  <c r="I26" i="28" s="1"/>
  <c r="I27" i="28" s="1"/>
  <c r="I47" i="28" s="1"/>
  <c r="L13" i="28"/>
  <c r="L17" i="28"/>
  <c r="L29" i="28" l="1"/>
  <c r="I50" i="28"/>
  <c r="I55" i="28"/>
  <c r="I52" i="28"/>
  <c r="I51" i="28"/>
  <c r="L50" i="28"/>
  <c r="L52" i="28"/>
  <c r="L51" i="28"/>
  <c r="O16" i="57"/>
  <c r="K16" i="57"/>
  <c r="K17" i="57" s="1"/>
  <c r="O22" i="57"/>
  <c r="K22" i="57"/>
  <c r="K41" i="57"/>
  <c r="K30" i="57"/>
  <c r="K42" i="57"/>
  <c r="K46" i="57"/>
  <c r="K29" i="57" l="1"/>
  <c r="H24" i="57"/>
  <c r="H27" i="57" s="1"/>
  <c r="H47" i="57" s="1"/>
  <c r="I24" i="57"/>
  <c r="I27" i="57" s="1"/>
  <c r="I47" i="57" s="1"/>
  <c r="J24" i="57"/>
  <c r="J27" i="57" s="1"/>
  <c r="J47" i="57" s="1"/>
  <c r="K24" i="57"/>
  <c r="K27" i="57" s="1"/>
  <c r="K47" i="57" s="1"/>
  <c r="K50" i="57" s="1"/>
  <c r="K21" i="57"/>
  <c r="K33" i="57" s="1"/>
  <c r="C45" i="1"/>
  <c r="C106" i="1"/>
  <c r="O45" i="1"/>
  <c r="J50" i="57" l="1"/>
  <c r="J55" i="57"/>
  <c r="J52" i="57"/>
  <c r="J51" i="57"/>
  <c r="I55" i="57"/>
  <c r="I50" i="57"/>
  <c r="I51" i="57"/>
  <c r="I52" i="57"/>
  <c r="K52" i="57"/>
  <c r="K55" i="57"/>
  <c r="H52" i="57"/>
  <c r="H51" i="57"/>
  <c r="H55" i="57"/>
  <c r="H50" i="57"/>
  <c r="K51" i="57"/>
  <c r="M22" i="45"/>
  <c r="L22" i="45" s="1"/>
  <c r="Q22" i="45"/>
  <c r="P22" i="45" s="1"/>
  <c r="K16" i="45"/>
  <c r="R16" i="45"/>
  <c r="Q16" i="45" s="1"/>
  <c r="P16" i="45" s="1"/>
  <c r="R20" i="45"/>
  <c r="Q20" i="45" s="1"/>
  <c r="P20" i="45" s="1"/>
  <c r="O20" i="45" s="1"/>
  <c r="Q36" i="45"/>
  <c r="P36" i="45" s="1"/>
  <c r="Q35" i="45"/>
  <c r="P35" i="45" s="1"/>
  <c r="L36" i="45"/>
  <c r="L24" i="45" l="1"/>
  <c r="K22" i="45"/>
  <c r="K32" i="45"/>
  <c r="K31" i="45"/>
  <c r="K30" i="45"/>
  <c r="K29" i="45"/>
  <c r="K35" i="45"/>
  <c r="K36" i="45"/>
  <c r="O35" i="45"/>
  <c r="K12" i="45"/>
  <c r="O12" i="45"/>
  <c r="G14" i="45" l="1"/>
  <c r="G13" i="45"/>
  <c r="H46" i="45"/>
  <c r="I46" i="45"/>
  <c r="K46" i="45"/>
  <c r="J46" i="45"/>
  <c r="J24" i="45"/>
  <c r="I24" i="45"/>
  <c r="H24" i="45"/>
  <c r="K37" i="45"/>
  <c r="H48" i="45" s="1"/>
  <c r="H53" i="45" s="1"/>
  <c r="K21" i="45"/>
  <c r="K33" i="45" s="1"/>
  <c r="K34" i="45" s="1"/>
  <c r="K24" i="45"/>
  <c r="K13" i="45"/>
  <c r="K17" i="45"/>
  <c r="K26" i="45" l="1"/>
  <c r="J26" i="45" s="1"/>
  <c r="I26" i="45" s="1"/>
  <c r="K42" i="34"/>
  <c r="I27" i="45" l="1"/>
  <c r="I47" i="45" s="1"/>
  <c r="H26" i="45"/>
  <c r="H27" i="45" s="1"/>
  <c r="H47" i="45" s="1"/>
  <c r="K27" i="45"/>
  <c r="K47" i="45" s="1"/>
  <c r="J27" i="45"/>
  <c r="J47" i="45" s="1"/>
  <c r="N30" i="34"/>
  <c r="M30" i="34" s="1"/>
  <c r="L30" i="34" s="1"/>
  <c r="K30" i="34" s="1"/>
  <c r="R30" i="34"/>
  <c r="Q30" i="34" s="1"/>
  <c r="P30" i="34" s="1"/>
  <c r="O30" i="34" s="1"/>
  <c r="N31" i="34"/>
  <c r="M31" i="34" s="1"/>
  <c r="L31" i="34" s="1"/>
  <c r="K31" i="34" s="1"/>
  <c r="R31" i="34"/>
  <c r="Q31" i="34" s="1"/>
  <c r="P31" i="34" s="1"/>
  <c r="O31" i="34" s="1"/>
  <c r="N32" i="34"/>
  <c r="M32" i="34" s="1"/>
  <c r="L32" i="34" s="1"/>
  <c r="K32" i="34" s="1"/>
  <c r="P32" i="34"/>
  <c r="O32" i="34" s="1"/>
  <c r="K40" i="34"/>
  <c r="K41" i="34" s="1"/>
  <c r="K16" i="34"/>
  <c r="K22" i="34" s="1"/>
  <c r="H24" i="34" s="1"/>
  <c r="H27" i="34" s="1"/>
  <c r="H47" i="34" s="1"/>
  <c r="K12" i="34"/>
  <c r="K46" i="34" l="1"/>
  <c r="G13" i="34"/>
  <c r="H46" i="34"/>
  <c r="I46" i="34"/>
  <c r="J46" i="34"/>
  <c r="H51" i="34"/>
  <c r="H55" i="34"/>
  <c r="H52" i="34"/>
  <c r="H50" i="34"/>
  <c r="K17" i="34"/>
  <c r="J52" i="45"/>
  <c r="J50" i="45"/>
  <c r="J51" i="45"/>
  <c r="K52" i="45"/>
  <c r="K50" i="45"/>
  <c r="K51" i="45"/>
  <c r="H50" i="45"/>
  <c r="H51" i="45"/>
  <c r="H52" i="45"/>
  <c r="I51" i="45"/>
  <c r="I52" i="45"/>
  <c r="I50" i="45"/>
  <c r="K29" i="34"/>
  <c r="J42" i="80"/>
  <c r="J40" i="80"/>
  <c r="J41" i="80" s="1"/>
  <c r="J19" i="80"/>
  <c r="J29" i="80"/>
  <c r="J12" i="80"/>
  <c r="J46" i="80" l="1"/>
  <c r="F13" i="80"/>
  <c r="J24" i="80"/>
  <c r="G46" i="80"/>
  <c r="H46" i="80"/>
  <c r="I46" i="80"/>
  <c r="I107" i="1"/>
  <c r="I75" i="1"/>
  <c r="I93" i="1"/>
  <c r="I73" i="1"/>
  <c r="I43" i="1"/>
  <c r="I64" i="1"/>
  <c r="I10" i="1"/>
  <c r="I41" i="1"/>
  <c r="I80" i="1"/>
  <c r="I40" i="1"/>
  <c r="I86" i="1"/>
  <c r="I118" i="1"/>
  <c r="I81" i="1"/>
  <c r="I108" i="1"/>
  <c r="I38" i="1"/>
  <c r="I33" i="1"/>
  <c r="I7" i="1"/>
  <c r="I19" i="1"/>
  <c r="I84" i="1"/>
  <c r="I100" i="1"/>
  <c r="I44" i="1"/>
  <c r="I9" i="1"/>
  <c r="I96" i="1"/>
  <c r="I53" i="1"/>
  <c r="I67" i="1"/>
  <c r="I47" i="1"/>
  <c r="I62" i="1"/>
  <c r="I92" i="1"/>
  <c r="I77" i="1"/>
  <c r="I30" i="1"/>
  <c r="I113" i="1"/>
  <c r="I66" i="1"/>
  <c r="I112" i="1"/>
  <c r="I31" i="1"/>
  <c r="I110" i="1"/>
  <c r="I69" i="1"/>
  <c r="I72" i="1"/>
  <c r="I25" i="1"/>
  <c r="I11" i="1"/>
  <c r="I46" i="1"/>
  <c r="I27" i="1"/>
  <c r="I50" i="1"/>
  <c r="I17" i="1"/>
  <c r="I70" i="1"/>
  <c r="I68" i="1"/>
  <c r="I48" i="1"/>
  <c r="J25" i="80" l="1"/>
  <c r="J27" i="80" s="1"/>
  <c r="I12" i="1"/>
  <c r="I103" i="1"/>
  <c r="I83" i="1"/>
  <c r="I61" i="1"/>
  <c r="I28" i="1"/>
  <c r="I39" i="1"/>
  <c r="J47" i="80" l="1"/>
  <c r="I24" i="80"/>
  <c r="I27" i="80" s="1"/>
  <c r="I42" i="122"/>
  <c r="I40" i="122"/>
  <c r="I41" i="122" s="1"/>
  <c r="I53" i="122" s="1"/>
  <c r="P16" i="122"/>
  <c r="M16" i="122" s="1"/>
  <c r="L16" i="122"/>
  <c r="I16" i="122" s="1"/>
  <c r="I22" i="122" s="1"/>
  <c r="P12" i="122"/>
  <c r="M12" i="122" s="1"/>
  <c r="L12" i="122"/>
  <c r="I114" i="1"/>
  <c r="I106" i="1"/>
  <c r="I85" i="1"/>
  <c r="I47" i="80" l="1"/>
  <c r="H24" i="80"/>
  <c r="H27" i="80" s="1"/>
  <c r="J50" i="80"/>
  <c r="J51" i="80"/>
  <c r="J55" i="80"/>
  <c r="J52" i="80"/>
  <c r="I29" i="122"/>
  <c r="I34" i="122" s="1"/>
  <c r="F24" i="122"/>
  <c r="I12" i="122"/>
  <c r="E13" i="122" s="1"/>
  <c r="H13" i="122"/>
  <c r="L42" i="123"/>
  <c r="L46" i="123"/>
  <c r="L40" i="123"/>
  <c r="L41" i="123"/>
  <c r="L22" i="123"/>
  <c r="L29" i="123" s="1"/>
  <c r="P22" i="123"/>
  <c r="L12" i="123"/>
  <c r="I115" i="1"/>
  <c r="I52" i="80" l="1"/>
  <c r="I55" i="80"/>
  <c r="I50" i="80"/>
  <c r="I51" i="80"/>
  <c r="H13" i="123"/>
  <c r="I46" i="123"/>
  <c r="J46" i="123"/>
  <c r="K46" i="123"/>
  <c r="L17" i="123"/>
  <c r="H47" i="80"/>
  <c r="G24" i="80"/>
  <c r="G27" i="80" s="1"/>
  <c r="G47" i="80" s="1"/>
  <c r="I24" i="123"/>
  <c r="I27" i="123" s="1"/>
  <c r="I47" i="123" s="1"/>
  <c r="F26" i="122"/>
  <c r="F27" i="122" s="1"/>
  <c r="F47" i="122" s="1"/>
  <c r="I13" i="122"/>
  <c r="F46" i="122"/>
  <c r="G46" i="122"/>
  <c r="H46" i="122"/>
  <c r="I46" i="122"/>
  <c r="I17" i="122"/>
  <c r="L42" i="48"/>
  <c r="L40" i="48"/>
  <c r="L41" i="48" s="1"/>
  <c r="G50" i="80" l="1"/>
  <c r="G55" i="80"/>
  <c r="G51" i="80"/>
  <c r="G52" i="80"/>
  <c r="H55" i="80"/>
  <c r="H50" i="80"/>
  <c r="H52" i="80"/>
  <c r="H51" i="80"/>
  <c r="I55" i="123"/>
  <c r="I50" i="123"/>
  <c r="I51" i="123"/>
  <c r="I52" i="123"/>
  <c r="F52" i="122"/>
  <c r="F55" i="122"/>
  <c r="F50" i="122"/>
  <c r="F51" i="122"/>
  <c r="L12" i="48" l="1"/>
  <c r="L42" i="95"/>
  <c r="L41" i="95"/>
  <c r="P16" i="95"/>
  <c r="P22" i="95" s="1"/>
  <c r="L16" i="95"/>
  <c r="L22" i="95"/>
  <c r="L29" i="95" l="1"/>
  <c r="I24" i="95"/>
  <c r="I27" i="95" s="1"/>
  <c r="I47" i="95" s="1"/>
  <c r="K46" i="48"/>
  <c r="L46" i="48"/>
  <c r="L42" i="83"/>
  <c r="L40" i="83"/>
  <c r="L41" i="83" s="1"/>
  <c r="L22" i="83"/>
  <c r="I24" i="83" s="1"/>
  <c r="I27" i="83" s="1"/>
  <c r="I47" i="83" s="1"/>
  <c r="I52" i="95" l="1"/>
  <c r="I55" i="95"/>
  <c r="I50" i="95"/>
  <c r="I51" i="95"/>
  <c r="I50" i="83"/>
  <c r="I55" i="83"/>
  <c r="I52" i="83"/>
  <c r="I51" i="83"/>
  <c r="L29" i="83"/>
  <c r="H42" i="125" l="1"/>
  <c r="H40" i="125" l="1"/>
  <c r="O33" i="125"/>
  <c r="N33" i="125"/>
  <c r="M33" i="125"/>
  <c r="K33" i="125"/>
  <c r="J33" i="125"/>
  <c r="I33" i="125"/>
  <c r="H21" i="125"/>
  <c r="H20" i="125"/>
  <c r="H19" i="125"/>
  <c r="H12" i="125"/>
  <c r="H46" i="125" l="1"/>
  <c r="D13" i="125"/>
  <c r="E46" i="125"/>
  <c r="F46" i="125"/>
  <c r="G46" i="125"/>
  <c r="H33" i="125"/>
  <c r="H41" i="125"/>
  <c r="K41" i="25"/>
  <c r="K29" i="25"/>
  <c r="O16" i="25"/>
  <c r="K21" i="25"/>
  <c r="K16" i="25"/>
  <c r="K17" i="25" s="1"/>
  <c r="K13" i="25"/>
  <c r="L42" i="8" l="1"/>
  <c r="L40" i="8"/>
  <c r="L41" i="8" s="1"/>
  <c r="L16" i="8"/>
  <c r="L22" i="8" s="1"/>
  <c r="L12" i="8"/>
  <c r="L17" i="8" l="1"/>
  <c r="I24" i="8"/>
  <c r="I27" i="8" s="1"/>
  <c r="I47" i="8" s="1"/>
  <c r="L29" i="8"/>
  <c r="H13" i="8"/>
  <c r="I46" i="8"/>
  <c r="J46" i="8"/>
  <c r="K46" i="8"/>
  <c r="L46" i="8"/>
  <c r="Q35" i="131"/>
  <c r="P35" i="131"/>
  <c r="O35" i="131"/>
  <c r="R35" i="131"/>
  <c r="R34" i="131" s="1"/>
  <c r="Q21" i="131"/>
  <c r="P21" i="131"/>
  <c r="M21" i="131"/>
  <c r="R21" i="131"/>
  <c r="R55" i="131"/>
  <c r="Q55" i="131"/>
  <c r="R29" i="131"/>
  <c r="Q29" i="131"/>
  <c r="P29" i="131"/>
  <c r="N29" i="131"/>
  <c r="M29" i="131"/>
  <c r="L29" i="131"/>
  <c r="R17" i="131"/>
  <c r="Q17" i="131"/>
  <c r="P17" i="131"/>
  <c r="N17" i="131"/>
  <c r="M17" i="131"/>
  <c r="M10" i="131"/>
  <c r="N10" i="131" s="1"/>
  <c r="O10" i="131" s="1"/>
  <c r="P10" i="131" s="1"/>
  <c r="Q10" i="131" s="1"/>
  <c r="R10" i="131" s="1"/>
  <c r="I55" i="8" l="1"/>
  <c r="I50" i="8"/>
  <c r="I51" i="8"/>
  <c r="I52" i="8"/>
  <c r="O24" i="131"/>
  <c r="L24" i="131"/>
  <c r="O29" i="131"/>
  <c r="M24" i="131"/>
  <c r="N24" i="131"/>
  <c r="R55" i="72"/>
  <c r="Q55" i="72"/>
  <c r="O55" i="72"/>
  <c r="N55" i="72"/>
  <c r="M55" i="72"/>
  <c r="L55" i="72"/>
  <c r="O46" i="72"/>
  <c r="N46" i="72"/>
  <c r="M46" i="72"/>
  <c r="L46" i="72"/>
  <c r="O41" i="72"/>
  <c r="N41" i="72"/>
  <c r="M41" i="72"/>
  <c r="L41" i="72"/>
  <c r="M27" i="72"/>
  <c r="M47" i="72" s="1"/>
  <c r="M50" i="72" s="1"/>
  <c r="L27" i="72"/>
  <c r="L47" i="72" s="1"/>
  <c r="L50" i="72" s="1"/>
  <c r="R22" i="72"/>
  <c r="R29" i="72" s="1"/>
  <c r="Q22" i="72"/>
  <c r="Q29" i="72" s="1"/>
  <c r="P22" i="72"/>
  <c r="P29" i="72" s="1"/>
  <c r="O22" i="72"/>
  <c r="O29" i="72" s="1"/>
  <c r="N22" i="72"/>
  <c r="N29" i="72" s="1"/>
  <c r="N35" i="72" s="1"/>
  <c r="N37" i="72" s="1"/>
  <c r="M22" i="72"/>
  <c r="M29" i="72" s="1"/>
  <c r="M35" i="72" s="1"/>
  <c r="M37" i="72" s="1"/>
  <c r="L22" i="72"/>
  <c r="R17" i="72"/>
  <c r="Q17" i="72"/>
  <c r="P17" i="72"/>
  <c r="O17" i="72"/>
  <c r="N17" i="72"/>
  <c r="M17" i="72"/>
  <c r="L17" i="72"/>
  <c r="N13" i="72"/>
  <c r="M13" i="72"/>
  <c r="L13" i="72"/>
  <c r="M10" i="72"/>
  <c r="N10" i="72" s="1"/>
  <c r="O10" i="72" s="1"/>
  <c r="P10" i="72" s="1"/>
  <c r="Q10" i="72" s="1"/>
  <c r="R10" i="72" s="1"/>
  <c r="O112" i="1"/>
  <c r="E112" i="1"/>
  <c r="C112" i="1"/>
  <c r="J112" i="1"/>
  <c r="F112" i="1"/>
  <c r="L29" i="72" l="1"/>
  <c r="L35" i="72" s="1"/>
  <c r="L37" i="72" s="1"/>
  <c r="J24" i="72"/>
  <c r="J27" i="72" s="1"/>
  <c r="J47" i="72" s="1"/>
  <c r="I24" i="72"/>
  <c r="I27" i="72" s="1"/>
  <c r="I47" i="72" s="1"/>
  <c r="O25" i="131"/>
  <c r="O27" i="131" s="1"/>
  <c r="N25" i="131"/>
  <c r="N27" i="131" s="1"/>
  <c r="M25" i="131"/>
  <c r="M27" i="131" s="1"/>
  <c r="L26" i="131"/>
  <c r="L27" i="131" s="1"/>
  <c r="L47" i="131" s="1"/>
  <c r="L55" i="131" s="1"/>
  <c r="L52" i="72"/>
  <c r="M52" i="72"/>
  <c r="N24" i="72"/>
  <c r="N27" i="72" s="1"/>
  <c r="N47" i="72" s="1"/>
  <c r="N50" i="72" s="1"/>
  <c r="O24" i="72"/>
  <c r="O27" i="72" s="1"/>
  <c r="O47" i="72" s="1"/>
  <c r="O50" i="72" s="1"/>
  <c r="L51" i="72"/>
  <c r="M51" i="72"/>
  <c r="S55" i="130"/>
  <c r="R55" i="130"/>
  <c r="Q55" i="130"/>
  <c r="S37" i="130"/>
  <c r="R37" i="130"/>
  <c r="Q37" i="130"/>
  <c r="P37" i="130"/>
  <c r="O37" i="130"/>
  <c r="N37" i="130"/>
  <c r="M37" i="130"/>
  <c r="L37" i="130"/>
  <c r="S33" i="130"/>
  <c r="R33" i="130"/>
  <c r="Q33" i="130"/>
  <c r="P33" i="130"/>
  <c r="S22" i="130"/>
  <c r="S29" i="130" s="1"/>
  <c r="S34" i="130" s="1"/>
  <c r="R22" i="130"/>
  <c r="R29" i="130" s="1"/>
  <c r="R34" i="130" s="1"/>
  <c r="Q22" i="130"/>
  <c r="Q29" i="130" s="1"/>
  <c r="Q34" i="130" s="1"/>
  <c r="P22" i="130"/>
  <c r="P29" i="130" s="1"/>
  <c r="P34" i="130" s="1"/>
  <c r="N22" i="130"/>
  <c r="M22" i="130"/>
  <c r="L22" i="130"/>
  <c r="L29" i="130" s="1"/>
  <c r="L34" i="130" s="1"/>
  <c r="S17" i="130"/>
  <c r="R17" i="130"/>
  <c r="Q17" i="130"/>
  <c r="P17" i="130"/>
  <c r="O17" i="130"/>
  <c r="N17" i="130"/>
  <c r="M17" i="130"/>
  <c r="L17" i="130"/>
  <c r="O13" i="130"/>
  <c r="N13" i="130"/>
  <c r="M13" i="130"/>
  <c r="L13" i="130"/>
  <c r="M10" i="130"/>
  <c r="N10" i="130" s="1"/>
  <c r="O10" i="130" s="1"/>
  <c r="P10" i="130" s="1"/>
  <c r="Q10" i="130" s="1"/>
  <c r="R10" i="130" s="1"/>
  <c r="S10" i="130" s="1"/>
  <c r="I50" i="72" l="1"/>
  <c r="I51" i="72"/>
  <c r="I52" i="72"/>
  <c r="J50" i="72"/>
  <c r="J52" i="72"/>
  <c r="J51" i="72"/>
  <c r="I48" i="72"/>
  <c r="I53" i="72" s="1"/>
  <c r="J48" i="72"/>
  <c r="J53" i="72" s="1"/>
  <c r="K48" i="130"/>
  <c r="K53" i="130" s="1"/>
  <c r="I48" i="130"/>
  <c r="I53" i="130" s="1"/>
  <c r="J48" i="130"/>
  <c r="J53" i="130" s="1"/>
  <c r="L50" i="131"/>
  <c r="L52" i="131"/>
  <c r="L51" i="131"/>
  <c r="N52" i="72"/>
  <c r="N29" i="130"/>
  <c r="N34" i="130" s="1"/>
  <c r="N51" i="72"/>
  <c r="O51" i="72"/>
  <c r="O52" i="72"/>
  <c r="M29" i="130"/>
  <c r="M34" i="130" s="1"/>
  <c r="P24" i="130"/>
  <c r="P27" i="130" s="1"/>
  <c r="O46" i="129"/>
  <c r="N46" i="129"/>
  <c r="M46" i="129"/>
  <c r="L26" i="129"/>
  <c r="R55" i="129"/>
  <c r="Q55" i="129"/>
  <c r="R37" i="129"/>
  <c r="Q37" i="129"/>
  <c r="P37" i="129"/>
  <c r="O37" i="129"/>
  <c r="O48" i="129" s="1"/>
  <c r="O53" i="129" s="1"/>
  <c r="N37" i="129"/>
  <c r="M37" i="129"/>
  <c r="L37" i="129"/>
  <c r="I48" i="129" s="1"/>
  <c r="I53" i="129" s="1"/>
  <c r="R22" i="129"/>
  <c r="R29" i="129" s="1"/>
  <c r="Q22" i="129"/>
  <c r="Q29" i="129" s="1"/>
  <c r="P22" i="129"/>
  <c r="O22" i="129"/>
  <c r="N22" i="129"/>
  <c r="N29" i="129" s="1"/>
  <c r="M22" i="129"/>
  <c r="M29" i="129" s="1"/>
  <c r="L22" i="129"/>
  <c r="R17" i="129"/>
  <c r="Q17" i="129"/>
  <c r="P17" i="129"/>
  <c r="O17" i="129"/>
  <c r="N17" i="129"/>
  <c r="M17" i="129"/>
  <c r="L17" i="129"/>
  <c r="N13" i="129"/>
  <c r="M13" i="129"/>
  <c r="L13" i="129"/>
  <c r="M10" i="129"/>
  <c r="N10" i="129" s="1"/>
  <c r="O10" i="129" s="1"/>
  <c r="P10" i="129" s="1"/>
  <c r="Q10" i="129" s="1"/>
  <c r="R10" i="129" s="1"/>
  <c r="J30" i="1"/>
  <c r="C30" i="1"/>
  <c r="O30" i="1"/>
  <c r="J24" i="129" l="1"/>
  <c r="I24" i="129"/>
  <c r="I25" i="129" s="1"/>
  <c r="I27" i="129" s="1"/>
  <c r="I47" i="129" s="1"/>
  <c r="K24" i="129"/>
  <c r="K25" i="129" s="1"/>
  <c r="K27" i="129" s="1"/>
  <c r="K47" i="129" s="1"/>
  <c r="J48" i="129"/>
  <c r="J53" i="129" s="1"/>
  <c r="L48" i="129"/>
  <c r="L53" i="129" s="1"/>
  <c r="K48" i="129"/>
  <c r="K53" i="129" s="1"/>
  <c r="M48" i="129"/>
  <c r="M53" i="129" s="1"/>
  <c r="N48" i="129"/>
  <c r="N53" i="129" s="1"/>
  <c r="L24" i="129"/>
  <c r="O27" i="129"/>
  <c r="O47" i="129" s="1"/>
  <c r="L29" i="129"/>
  <c r="P29" i="129"/>
  <c r="M24" i="129"/>
  <c r="M27" i="129" s="1"/>
  <c r="M47" i="129" s="1"/>
  <c r="O29" i="129"/>
  <c r="N24" i="129"/>
  <c r="N27" i="129" s="1"/>
  <c r="N47" i="129" s="1"/>
  <c r="O103" i="1"/>
  <c r="J103" i="1"/>
  <c r="F30" i="1"/>
  <c r="K50" i="129" l="1"/>
  <c r="K55" i="129"/>
  <c r="K52" i="129"/>
  <c r="K51" i="129"/>
  <c r="I52" i="129"/>
  <c r="I51" i="129"/>
  <c r="I55" i="129"/>
  <c r="I50" i="129"/>
  <c r="J25" i="129"/>
  <c r="J27" i="129"/>
  <c r="J47" i="129" s="1"/>
  <c r="N52" i="129"/>
  <c r="N51" i="129"/>
  <c r="N50" i="129"/>
  <c r="O50" i="129"/>
  <c r="O52" i="129"/>
  <c r="O51" i="129"/>
  <c r="M52" i="129"/>
  <c r="M51" i="129"/>
  <c r="M50" i="129"/>
  <c r="L25" i="129"/>
  <c r="L27" i="129" s="1"/>
  <c r="L47" i="129" s="1"/>
  <c r="N40" i="114"/>
  <c r="M41" i="114"/>
  <c r="M40" i="114"/>
  <c r="C103" i="1"/>
  <c r="J50" i="129" l="1"/>
  <c r="J55" i="129"/>
  <c r="J52" i="129"/>
  <c r="J51" i="129"/>
  <c r="L55" i="129"/>
  <c r="L52" i="129"/>
  <c r="L51" i="129"/>
  <c r="L50" i="129"/>
  <c r="N41" i="118"/>
  <c r="N53" i="118" s="1"/>
  <c r="M40" i="118"/>
  <c r="M41" i="118" s="1"/>
  <c r="L40" i="118"/>
  <c r="L41" i="118" s="1"/>
  <c r="L25" i="118"/>
  <c r="Q22" i="118"/>
  <c r="P22" i="118"/>
  <c r="O22" i="118"/>
  <c r="N22" i="118"/>
  <c r="M22" i="118"/>
  <c r="L22" i="118"/>
  <c r="I24" i="118" s="1"/>
  <c r="Q17" i="118"/>
  <c r="P17" i="118"/>
  <c r="M17" i="118"/>
  <c r="L17" i="118"/>
  <c r="M13" i="118"/>
  <c r="L13" i="118"/>
  <c r="O10" i="118"/>
  <c r="P10" i="118" s="1"/>
  <c r="Q10" i="118" s="1"/>
  <c r="X55" i="26"/>
  <c r="W55" i="26"/>
  <c r="V55" i="26"/>
  <c r="U55" i="26"/>
  <c r="T55" i="26"/>
  <c r="S55" i="26"/>
  <c r="R55" i="26"/>
  <c r="Q55" i="26"/>
  <c r="P55" i="26"/>
  <c r="O55" i="26"/>
  <c r="N55" i="26"/>
  <c r="M55" i="26"/>
  <c r="L50" i="26"/>
  <c r="U46" i="26"/>
  <c r="T46" i="26"/>
  <c r="S46" i="26"/>
  <c r="R46" i="26"/>
  <c r="Q46" i="26"/>
  <c r="P46" i="26"/>
  <c r="O46" i="26"/>
  <c r="N46" i="26"/>
  <c r="M46" i="26"/>
  <c r="Q41" i="26"/>
  <c r="O41" i="26"/>
  <c r="N41" i="26"/>
  <c r="M41" i="26"/>
  <c r="L55" i="26"/>
  <c r="P40" i="26"/>
  <c r="X37" i="26"/>
  <c r="W37" i="26"/>
  <c r="V37" i="26"/>
  <c r="U37" i="26"/>
  <c r="T37" i="26"/>
  <c r="O37" i="26"/>
  <c r="K48" i="26" s="1"/>
  <c r="S36" i="26"/>
  <c r="N36" i="26"/>
  <c r="M36" i="26" s="1"/>
  <c r="L36" i="26" s="1"/>
  <c r="R35" i="26"/>
  <c r="Q35" i="26" s="1"/>
  <c r="P35" i="26" s="1"/>
  <c r="N35" i="26"/>
  <c r="W32" i="26"/>
  <c r="V32" i="26"/>
  <c r="S32" i="26"/>
  <c r="R32" i="26" s="1"/>
  <c r="O32" i="26"/>
  <c r="N32" i="26" s="1"/>
  <c r="M32" i="26" s="1"/>
  <c r="L32" i="26" s="1"/>
  <c r="S31" i="26"/>
  <c r="R31" i="26" s="1"/>
  <c r="Q31" i="26" s="1"/>
  <c r="P31" i="26" s="1"/>
  <c r="O31" i="26"/>
  <c r="N31" i="26"/>
  <c r="M31" i="26" s="1"/>
  <c r="L31" i="26" s="1"/>
  <c r="S30" i="26"/>
  <c r="R30" i="26"/>
  <c r="Q30" i="26" s="1"/>
  <c r="P30" i="26" s="1"/>
  <c r="O30" i="26"/>
  <c r="N30" i="26" s="1"/>
  <c r="M30" i="26"/>
  <c r="L30" i="26" s="1"/>
  <c r="X29" i="26"/>
  <c r="W29" i="26"/>
  <c r="V29" i="26"/>
  <c r="U29" i="26"/>
  <c r="T29" i="26"/>
  <c r="S29" i="26"/>
  <c r="R29" i="26"/>
  <c r="Q29" i="26"/>
  <c r="P29" i="26"/>
  <c r="O29" i="26"/>
  <c r="N29" i="26"/>
  <c r="M29" i="26"/>
  <c r="U24" i="26"/>
  <c r="U27" i="26" s="1"/>
  <c r="U47" i="26" s="1"/>
  <c r="T24" i="26"/>
  <c r="T27" i="26" s="1"/>
  <c r="T47" i="26" s="1"/>
  <c r="S24" i="26"/>
  <c r="S27" i="26" s="1"/>
  <c r="S47" i="26" s="1"/>
  <c r="R24" i="26"/>
  <c r="R27" i="26" s="1"/>
  <c r="R47" i="26" s="1"/>
  <c r="Q24" i="26"/>
  <c r="Q27" i="26" s="1"/>
  <c r="Q47" i="26" s="1"/>
  <c r="P24" i="26"/>
  <c r="P27" i="26" s="1"/>
  <c r="P47" i="26" s="1"/>
  <c r="O24" i="26"/>
  <c r="O27" i="26" s="1"/>
  <c r="O47" i="26" s="1"/>
  <c r="O50" i="26" s="1"/>
  <c r="N24" i="26"/>
  <c r="N27" i="26" s="1"/>
  <c r="N47" i="26" s="1"/>
  <c r="N50" i="26" s="1"/>
  <c r="M24" i="26"/>
  <c r="M27" i="26" s="1"/>
  <c r="M47" i="26" s="1"/>
  <c r="X21" i="26"/>
  <c r="W21" i="26"/>
  <c r="V21" i="26"/>
  <c r="U21" i="26"/>
  <c r="T21" i="26"/>
  <c r="S21" i="26"/>
  <c r="R21" i="26"/>
  <c r="Q21" i="26"/>
  <c r="P21" i="26"/>
  <c r="O21" i="26"/>
  <c r="N21" i="26"/>
  <c r="M21" i="26"/>
  <c r="X17" i="26"/>
  <c r="W17" i="26"/>
  <c r="V17" i="26"/>
  <c r="U17" i="26"/>
  <c r="T17" i="26"/>
  <c r="S17" i="26"/>
  <c r="R17" i="26"/>
  <c r="Q17" i="26"/>
  <c r="P17" i="26"/>
  <c r="O17" i="26"/>
  <c r="N17" i="26"/>
  <c r="M17" i="26"/>
  <c r="T13" i="26"/>
  <c r="S13" i="26"/>
  <c r="R13" i="26"/>
  <c r="Q13" i="26"/>
  <c r="P13" i="26"/>
  <c r="O13" i="26"/>
  <c r="N13" i="26"/>
  <c r="M13" i="26"/>
  <c r="E103" i="1"/>
  <c r="F103" i="1"/>
  <c r="E30" i="1"/>
  <c r="U48" i="26" l="1"/>
  <c r="N37" i="26"/>
  <c r="M24" i="118"/>
  <c r="I25" i="118"/>
  <c r="I27" i="118" s="1"/>
  <c r="I47" i="118" s="1"/>
  <c r="J48" i="26"/>
  <c r="J53" i="26" s="1"/>
  <c r="K53" i="26"/>
  <c r="J24" i="118"/>
  <c r="K24" i="118"/>
  <c r="N24" i="118"/>
  <c r="N25" i="118" s="1"/>
  <c r="L52" i="26"/>
  <c r="M35" i="26"/>
  <c r="T48" i="26"/>
  <c r="T53" i="26" s="1"/>
  <c r="Q32" i="26"/>
  <c r="P32" i="26" s="1"/>
  <c r="Q52" i="26"/>
  <c r="M25" i="118"/>
  <c r="M27" i="118" s="1"/>
  <c r="M47" i="118" s="1"/>
  <c r="L24" i="118"/>
  <c r="L27" i="118" s="1"/>
  <c r="L47" i="118" s="1"/>
  <c r="L51" i="118" s="1"/>
  <c r="S51" i="26"/>
  <c r="S50" i="26"/>
  <c r="S52" i="26"/>
  <c r="Q50" i="26"/>
  <c r="Q51" i="26"/>
  <c r="M52" i="26"/>
  <c r="M50" i="26"/>
  <c r="M51" i="26"/>
  <c r="P50" i="26"/>
  <c r="P51" i="26"/>
  <c r="P52" i="26"/>
  <c r="N52" i="26"/>
  <c r="R52" i="26"/>
  <c r="R51" i="26"/>
  <c r="R50" i="26"/>
  <c r="T50" i="26"/>
  <c r="T51" i="26"/>
  <c r="T52" i="26"/>
  <c r="O51" i="26"/>
  <c r="U32" i="26"/>
  <c r="T32" i="26" s="1"/>
  <c r="R36" i="26"/>
  <c r="Q36" i="26" s="1"/>
  <c r="S37" i="26"/>
  <c r="S48" i="26" s="1"/>
  <c r="S53" i="26" s="1"/>
  <c r="L51" i="26"/>
  <c r="O52" i="26"/>
  <c r="N51" i="26"/>
  <c r="L53" i="26"/>
  <c r="L41" i="128"/>
  <c r="L53" i="128" s="1"/>
  <c r="S55" i="128"/>
  <c r="R55" i="128"/>
  <c r="Q55" i="128"/>
  <c r="S22" i="128"/>
  <c r="R22" i="128"/>
  <c r="Q22" i="128"/>
  <c r="P22" i="128"/>
  <c r="N22" i="128"/>
  <c r="N29" i="128" s="1"/>
  <c r="M22" i="128"/>
  <c r="L22" i="128"/>
  <c r="S17" i="128"/>
  <c r="R17" i="128"/>
  <c r="Q17" i="128"/>
  <c r="P17" i="128"/>
  <c r="O17" i="128"/>
  <c r="N17" i="128"/>
  <c r="M17" i="128"/>
  <c r="L17" i="128"/>
  <c r="O13" i="128"/>
  <c r="N13" i="128"/>
  <c r="M13" i="128"/>
  <c r="L13" i="128"/>
  <c r="M10" i="128"/>
  <c r="N10" i="128" s="1"/>
  <c r="O10" i="128" s="1"/>
  <c r="P10" i="128" s="1"/>
  <c r="Q10" i="128" s="1"/>
  <c r="R10" i="128" s="1"/>
  <c r="S10" i="128" s="1"/>
  <c r="I50" i="118" l="1"/>
  <c r="I55" i="118"/>
  <c r="I51" i="118"/>
  <c r="I52" i="118"/>
  <c r="M37" i="26"/>
  <c r="L35" i="26"/>
  <c r="L37" i="26" s="1"/>
  <c r="I48" i="26" s="1"/>
  <c r="I53" i="26" s="1"/>
  <c r="L29" i="128"/>
  <c r="I24" i="128"/>
  <c r="L55" i="118"/>
  <c r="L52" i="118"/>
  <c r="N27" i="118"/>
  <c r="N47" i="118" s="1"/>
  <c r="K25" i="118"/>
  <c r="K27" i="118" s="1"/>
  <c r="K47" i="118" s="1"/>
  <c r="J25" i="118"/>
  <c r="J27" i="118" s="1"/>
  <c r="J47" i="118" s="1"/>
  <c r="M29" i="128"/>
  <c r="K24" i="128"/>
  <c r="K25" i="128" s="1"/>
  <c r="J24" i="128"/>
  <c r="J25" i="128" s="1"/>
  <c r="M50" i="118"/>
  <c r="M51" i="118"/>
  <c r="M55" i="118"/>
  <c r="M52" i="118"/>
  <c r="N50" i="118"/>
  <c r="L50" i="118"/>
  <c r="P36" i="26"/>
  <c r="P37" i="26" s="1"/>
  <c r="Q37" i="26"/>
  <c r="R37" i="26"/>
  <c r="R48" i="26" s="1"/>
  <c r="R53" i="26" s="1"/>
  <c r="O24" i="128"/>
  <c r="O25" i="128" s="1"/>
  <c r="L24" i="128"/>
  <c r="L25" i="128" s="1"/>
  <c r="M24" i="128"/>
  <c r="M25" i="128" s="1"/>
  <c r="N24" i="128"/>
  <c r="N25" i="128" s="1"/>
  <c r="W55" i="103"/>
  <c r="V55" i="103"/>
  <c r="U55" i="103"/>
  <c r="T55" i="103"/>
  <c r="S55" i="103"/>
  <c r="R55" i="103"/>
  <c r="Q55" i="103"/>
  <c r="P55" i="103"/>
  <c r="N55" i="103"/>
  <c r="M55" i="103"/>
  <c r="T46" i="103"/>
  <c r="S46" i="103"/>
  <c r="R46" i="103"/>
  <c r="Q46" i="103"/>
  <c r="O46" i="103"/>
  <c r="O42" i="103"/>
  <c r="O55" i="103" s="1"/>
  <c r="P41" i="103"/>
  <c r="O41" i="103" s="1"/>
  <c r="N41" i="103"/>
  <c r="M41" i="103"/>
  <c r="O40" i="103"/>
  <c r="O39" i="103"/>
  <c r="W37" i="103"/>
  <c r="V37" i="103"/>
  <c r="U37" i="103"/>
  <c r="T37" i="103"/>
  <c r="S37" i="103"/>
  <c r="R37" i="103"/>
  <c r="Q37" i="103"/>
  <c r="O37" i="103"/>
  <c r="N37" i="103"/>
  <c r="P37" i="103"/>
  <c r="S31" i="103"/>
  <c r="R31" i="103" s="1"/>
  <c r="Q31" i="103" s="1"/>
  <c r="P31" i="103" s="1"/>
  <c r="O31" i="103"/>
  <c r="L31" i="103" s="1"/>
  <c r="S30" i="103"/>
  <c r="R30" i="103" s="1"/>
  <c r="Q30" i="103" s="1"/>
  <c r="P30" i="103" s="1"/>
  <c r="L30" i="103"/>
  <c r="P26" i="103"/>
  <c r="W22" i="103"/>
  <c r="W29" i="103" s="1"/>
  <c r="V22" i="103"/>
  <c r="V29" i="103" s="1"/>
  <c r="U22" i="103"/>
  <c r="U29" i="103" s="1"/>
  <c r="T22" i="103"/>
  <c r="S22" i="103"/>
  <c r="S29" i="103" s="1"/>
  <c r="R22" i="103"/>
  <c r="R29" i="103" s="1"/>
  <c r="Q22" i="103"/>
  <c r="Q29" i="103" s="1"/>
  <c r="P22" i="103"/>
  <c r="O22" i="103"/>
  <c r="O29" i="103" s="1"/>
  <c r="N22" i="103"/>
  <c r="N29" i="103" s="1"/>
  <c r="M22" i="103"/>
  <c r="W17" i="103"/>
  <c r="V17" i="103"/>
  <c r="U17" i="103"/>
  <c r="T17" i="103"/>
  <c r="S17" i="103"/>
  <c r="R17" i="103"/>
  <c r="Q17" i="103"/>
  <c r="O17" i="103"/>
  <c r="N17" i="103"/>
  <c r="M17" i="103"/>
  <c r="P17" i="103"/>
  <c r="S13" i="103"/>
  <c r="R13" i="103"/>
  <c r="Q13" i="103"/>
  <c r="O13" i="103"/>
  <c r="N13" i="103"/>
  <c r="M13" i="103"/>
  <c r="P13" i="103"/>
  <c r="Q10" i="103"/>
  <c r="R10" i="103" s="1"/>
  <c r="S10" i="103" s="1"/>
  <c r="T10" i="103" s="1"/>
  <c r="U10" i="103" s="1"/>
  <c r="V10" i="103" s="1"/>
  <c r="W10" i="103" s="1"/>
  <c r="O28" i="1"/>
  <c r="C28" i="1"/>
  <c r="P24" i="103" l="1"/>
  <c r="T24" i="103"/>
  <c r="T27" i="103" s="1"/>
  <c r="T47" i="103" s="1"/>
  <c r="T50" i="103" s="1"/>
  <c r="P48" i="103"/>
  <c r="P53" i="103" s="1"/>
  <c r="R48" i="103"/>
  <c r="R53" i="103" s="1"/>
  <c r="M53" i="118"/>
  <c r="L53" i="118"/>
  <c r="N48" i="103"/>
  <c r="M48" i="103"/>
  <c r="L48" i="103"/>
  <c r="L53" i="103" s="1"/>
  <c r="K48" i="103"/>
  <c r="K53" i="103" s="1"/>
  <c r="O48" i="103"/>
  <c r="O53" i="103" s="1"/>
  <c r="M29" i="103"/>
  <c r="L24" i="103"/>
  <c r="K24" i="103"/>
  <c r="J24" i="103"/>
  <c r="S48" i="103"/>
  <c r="S53" i="103" s="1"/>
  <c r="T48" i="103"/>
  <c r="T53" i="103" s="1"/>
  <c r="I25" i="128"/>
  <c r="I27" i="128" s="1"/>
  <c r="I47" i="128" s="1"/>
  <c r="J51" i="118"/>
  <c r="J52" i="118"/>
  <c r="J50" i="118"/>
  <c r="J55" i="118"/>
  <c r="K55" i="118"/>
  <c r="K53" i="118"/>
  <c r="K52" i="118"/>
  <c r="K50" i="118"/>
  <c r="K51" i="118"/>
  <c r="N51" i="118"/>
  <c r="N52" i="118"/>
  <c r="N55" i="118"/>
  <c r="J27" i="128"/>
  <c r="J47" i="128" s="1"/>
  <c r="Q48" i="26"/>
  <c r="Q53" i="26" s="1"/>
  <c r="P48" i="26"/>
  <c r="P53" i="26" s="1"/>
  <c r="O48" i="26"/>
  <c r="O53" i="26" s="1"/>
  <c r="M48" i="26"/>
  <c r="M53" i="26" s="1"/>
  <c r="N48" i="26"/>
  <c r="N53" i="26" s="1"/>
  <c r="N27" i="128"/>
  <c r="M27" i="128"/>
  <c r="L27" i="128"/>
  <c r="L47" i="128" s="1"/>
  <c r="O27" i="128"/>
  <c r="P25" i="103"/>
  <c r="P27" i="103" s="1"/>
  <c r="P47" i="103" s="1"/>
  <c r="T52" i="103"/>
  <c r="T51" i="103"/>
  <c r="M24" i="103"/>
  <c r="Q24" i="103"/>
  <c r="Q27" i="103" s="1"/>
  <c r="Q47" i="103" s="1"/>
  <c r="P29" i="103"/>
  <c r="T29" i="103"/>
  <c r="R24" i="103"/>
  <c r="R27" i="103" s="1"/>
  <c r="R47" i="103" s="1"/>
  <c r="Q48" i="103"/>
  <c r="Q53" i="103" s="1"/>
  <c r="S24" i="103"/>
  <c r="S27" i="103" s="1"/>
  <c r="S47" i="103" s="1"/>
  <c r="N24" i="103"/>
  <c r="O24" i="103"/>
  <c r="W55" i="114"/>
  <c r="V55" i="114"/>
  <c r="U55" i="114"/>
  <c r="T55" i="114"/>
  <c r="P55" i="114"/>
  <c r="O42" i="114"/>
  <c r="N42" i="114" s="1"/>
  <c r="M42" i="114"/>
  <c r="O41" i="114"/>
  <c r="P40" i="114"/>
  <c r="P41" i="114" s="1"/>
  <c r="N39" i="114"/>
  <c r="N41" i="114" s="1"/>
  <c r="W37" i="114"/>
  <c r="V37" i="114"/>
  <c r="U37" i="114"/>
  <c r="S37" i="114"/>
  <c r="R37" i="114"/>
  <c r="Q37" i="114"/>
  <c r="O37" i="114"/>
  <c r="T36" i="114"/>
  <c r="P36" i="114"/>
  <c r="T35" i="114"/>
  <c r="P35" i="114"/>
  <c r="P37" i="114" s="1"/>
  <c r="P48" i="114" s="1"/>
  <c r="P53" i="114" s="1"/>
  <c r="W32" i="114"/>
  <c r="V32" i="114"/>
  <c r="U32" i="114"/>
  <c r="T32" i="114"/>
  <c r="S32" i="114"/>
  <c r="P32" i="114" s="1"/>
  <c r="R32" i="114"/>
  <c r="Q32" i="114"/>
  <c r="T31" i="114"/>
  <c r="P31" i="114"/>
  <c r="T30" i="114"/>
  <c r="P30" i="114"/>
  <c r="W22" i="114"/>
  <c r="W29" i="114" s="1"/>
  <c r="V22" i="114"/>
  <c r="V29" i="114" s="1"/>
  <c r="U22" i="114"/>
  <c r="U29" i="114" s="1"/>
  <c r="S22" i="114"/>
  <c r="S29" i="114" s="1"/>
  <c r="Q22" i="114"/>
  <c r="Q29" i="114" s="1"/>
  <c r="O22" i="114"/>
  <c r="M22" i="114"/>
  <c r="W17" i="114"/>
  <c r="V17" i="114"/>
  <c r="U17" i="114"/>
  <c r="S17" i="114"/>
  <c r="Q17" i="114"/>
  <c r="O17" i="114"/>
  <c r="M17" i="114"/>
  <c r="T16" i="114"/>
  <c r="T17" i="114" s="1"/>
  <c r="R16" i="114"/>
  <c r="R17" i="114" s="1"/>
  <c r="N17" i="114"/>
  <c r="S13" i="114"/>
  <c r="Q13" i="114"/>
  <c r="O13" i="114"/>
  <c r="M13" i="114"/>
  <c r="R12" i="114"/>
  <c r="R13" i="114" s="1"/>
  <c r="P10" i="114"/>
  <c r="Q10" i="114" s="1"/>
  <c r="R10" i="114" s="1"/>
  <c r="S10" i="114" s="1"/>
  <c r="T10" i="114" s="1"/>
  <c r="U10" i="114" s="1"/>
  <c r="V10" i="114" s="1"/>
  <c r="W10" i="114" s="1"/>
  <c r="Q55" i="112"/>
  <c r="P55" i="112"/>
  <c r="O55" i="112"/>
  <c r="N55" i="112"/>
  <c r="M55" i="112"/>
  <c r="L55" i="112"/>
  <c r="K55" i="112"/>
  <c r="J55" i="112"/>
  <c r="I55" i="112"/>
  <c r="H55" i="112"/>
  <c r="G55" i="112"/>
  <c r="I41" i="112"/>
  <c r="H41" i="112"/>
  <c r="G41" i="112"/>
  <c r="M40" i="112"/>
  <c r="L40" i="112"/>
  <c r="K40" i="112"/>
  <c r="J40" i="112"/>
  <c r="J41" i="112" s="1"/>
  <c r="M39" i="112"/>
  <c r="M41" i="112" s="1"/>
  <c r="L39" i="112"/>
  <c r="K39" i="112"/>
  <c r="K41" i="112" s="1"/>
  <c r="Q37" i="112"/>
  <c r="M37" i="112"/>
  <c r="I37" i="112"/>
  <c r="P36" i="112"/>
  <c r="L36" i="112"/>
  <c r="K36" i="112" s="1"/>
  <c r="J36" i="112" s="1"/>
  <c r="H36" i="112"/>
  <c r="G36" i="112" s="1"/>
  <c r="F36" i="112" s="1"/>
  <c r="P35" i="112"/>
  <c r="O35" i="112" s="1"/>
  <c r="L35" i="112"/>
  <c r="K35" i="112" s="1"/>
  <c r="H35" i="112"/>
  <c r="H37" i="112" s="1"/>
  <c r="Q32" i="112"/>
  <c r="P32" i="112" s="1"/>
  <c r="M32" i="112"/>
  <c r="I32" i="112"/>
  <c r="H32" i="112" s="1"/>
  <c r="G32" i="112" s="1"/>
  <c r="F32" i="112" s="1"/>
  <c r="Q31" i="112"/>
  <c r="P31" i="112" s="1"/>
  <c r="O31" i="112" s="1"/>
  <c r="M31" i="112"/>
  <c r="L31" i="112" s="1"/>
  <c r="K31" i="112" s="1"/>
  <c r="H31" i="112"/>
  <c r="G31" i="112" s="1"/>
  <c r="F31" i="112" s="1"/>
  <c r="Q30" i="112"/>
  <c r="M30" i="112"/>
  <c r="H30" i="112"/>
  <c r="G30" i="112" s="1"/>
  <c r="F30" i="112" s="1"/>
  <c r="Q29" i="112"/>
  <c r="P29" i="112"/>
  <c r="O29" i="112"/>
  <c r="M29" i="112"/>
  <c r="L29" i="112"/>
  <c r="K29" i="112"/>
  <c r="I29" i="112"/>
  <c r="H29" i="112"/>
  <c r="G29" i="112"/>
  <c r="Q16" i="112"/>
  <c r="Q17" i="112" s="1"/>
  <c r="P16" i="112"/>
  <c r="P17" i="112" s="1"/>
  <c r="O16" i="112"/>
  <c r="O17" i="112" s="1"/>
  <c r="M16" i="112"/>
  <c r="M17" i="112" s="1"/>
  <c r="L16" i="112"/>
  <c r="L17" i="112" s="1"/>
  <c r="K16" i="112"/>
  <c r="K17" i="112" s="1"/>
  <c r="I16" i="112"/>
  <c r="I17" i="112" s="1"/>
  <c r="H16" i="112"/>
  <c r="H17" i="112" s="1"/>
  <c r="G16" i="112"/>
  <c r="G17" i="112" s="1"/>
  <c r="L13" i="112"/>
  <c r="K13" i="112"/>
  <c r="I13" i="112"/>
  <c r="H13" i="112"/>
  <c r="G13" i="112"/>
  <c r="N12" i="112"/>
  <c r="M46" i="112" s="1"/>
  <c r="J12" i="112"/>
  <c r="J10" i="112"/>
  <c r="K10" i="112" s="1"/>
  <c r="L10" i="112" s="1"/>
  <c r="M10" i="112" s="1"/>
  <c r="N10" i="112" s="1"/>
  <c r="O10" i="112" s="1"/>
  <c r="P10" i="112" s="1"/>
  <c r="Q10" i="112" s="1"/>
  <c r="E28" i="1"/>
  <c r="F28" i="1"/>
  <c r="J28" i="1"/>
  <c r="P12" i="114" l="1"/>
  <c r="M46" i="114" s="1"/>
  <c r="J25" i="103"/>
  <c r="J27" i="103" s="1"/>
  <c r="J47" i="103" s="1"/>
  <c r="L41" i="112"/>
  <c r="L13" i="114"/>
  <c r="L26" i="103"/>
  <c r="L27" i="103" s="1"/>
  <c r="L47" i="103" s="1"/>
  <c r="M29" i="114"/>
  <c r="J24" i="114"/>
  <c r="J27" i="114" s="1"/>
  <c r="J47" i="114" s="1"/>
  <c r="T37" i="114"/>
  <c r="K25" i="103"/>
  <c r="K27" i="103" s="1"/>
  <c r="K47" i="103" s="1"/>
  <c r="I55" i="128"/>
  <c r="I52" i="128"/>
  <c r="I50" i="128"/>
  <c r="I51" i="128"/>
  <c r="L46" i="112"/>
  <c r="O32" i="112"/>
  <c r="N32" i="112" s="1"/>
  <c r="J46" i="112"/>
  <c r="F13" i="112"/>
  <c r="L32" i="112"/>
  <c r="K32" i="112" s="1"/>
  <c r="G35" i="112"/>
  <c r="P37" i="112"/>
  <c r="O36" i="112"/>
  <c r="O37" i="112" s="1"/>
  <c r="J50" i="128"/>
  <c r="J55" i="128"/>
  <c r="J52" i="128"/>
  <c r="J51" i="128"/>
  <c r="K27" i="128"/>
  <c r="K47" i="128" s="1"/>
  <c r="K48" i="128" s="1"/>
  <c r="O29" i="114"/>
  <c r="L55" i="128"/>
  <c r="L50" i="128"/>
  <c r="L52" i="128"/>
  <c r="L51" i="128"/>
  <c r="P52" i="103"/>
  <c r="P51" i="103"/>
  <c r="P50" i="103"/>
  <c r="O47" i="103"/>
  <c r="N26" i="103"/>
  <c r="N27" i="103" s="1"/>
  <c r="N47" i="103" s="1"/>
  <c r="Q52" i="103"/>
  <c r="Q51" i="103"/>
  <c r="Q50" i="103"/>
  <c r="R52" i="103"/>
  <c r="R51" i="103"/>
  <c r="R50" i="103"/>
  <c r="M26" i="103"/>
  <c r="M27" i="103" s="1"/>
  <c r="M47" i="103" s="1"/>
  <c r="S52" i="103"/>
  <c r="S51" i="103"/>
  <c r="S50" i="103"/>
  <c r="O26" i="103"/>
  <c r="O27" i="103" s="1"/>
  <c r="N53" i="103"/>
  <c r="M53" i="103"/>
  <c r="O48" i="114"/>
  <c r="O53" i="114" s="1"/>
  <c r="N13" i="114"/>
  <c r="T22" i="114"/>
  <c r="T29" i="114" s="1"/>
  <c r="P13" i="114"/>
  <c r="N22" i="114"/>
  <c r="R22" i="114"/>
  <c r="O46" i="114"/>
  <c r="N46" i="114"/>
  <c r="K37" i="112"/>
  <c r="J35" i="112"/>
  <c r="J37" i="112" s="1"/>
  <c r="H46" i="112"/>
  <c r="J16" i="112"/>
  <c r="N16" i="112"/>
  <c r="L30" i="112"/>
  <c r="P30" i="112"/>
  <c r="O30" i="112" s="1"/>
  <c r="J31" i="112"/>
  <c r="N31" i="112"/>
  <c r="N35" i="112"/>
  <c r="L37" i="112"/>
  <c r="G46" i="112"/>
  <c r="K46" i="112"/>
  <c r="J13" i="112"/>
  <c r="I46" i="112"/>
  <c r="H33" i="127"/>
  <c r="G33" i="127"/>
  <c r="F33" i="127"/>
  <c r="E33" i="127"/>
  <c r="D33" i="127"/>
  <c r="C33" i="127"/>
  <c r="B33" i="127"/>
  <c r="E40" i="127"/>
  <c r="E41" i="127" s="1"/>
  <c r="D40" i="127"/>
  <c r="D41" i="127" s="1"/>
  <c r="C40" i="127"/>
  <c r="C41" i="127" s="1"/>
  <c r="B40" i="127"/>
  <c r="B41" i="127" s="1"/>
  <c r="B35" i="127"/>
  <c r="C35" i="127"/>
  <c r="D35" i="127"/>
  <c r="E35" i="127"/>
  <c r="F35" i="127"/>
  <c r="G35" i="127"/>
  <c r="H35" i="127"/>
  <c r="H55" i="127"/>
  <c r="G55" i="127"/>
  <c r="E55" i="127"/>
  <c r="D55" i="127"/>
  <c r="C55" i="127"/>
  <c r="B55" i="127"/>
  <c r="E46" i="127"/>
  <c r="D46" i="127"/>
  <c r="C46" i="127"/>
  <c r="B46" i="127"/>
  <c r="H22" i="127"/>
  <c r="H29" i="127" s="1"/>
  <c r="G22" i="127"/>
  <c r="G29" i="127" s="1"/>
  <c r="F22" i="127"/>
  <c r="E22" i="127"/>
  <c r="D22" i="127"/>
  <c r="D29" i="127" s="1"/>
  <c r="C22" i="127"/>
  <c r="C29" i="127" s="1"/>
  <c r="B22" i="127"/>
  <c r="H17" i="127"/>
  <c r="G17" i="127"/>
  <c r="F17" i="127"/>
  <c r="E17" i="127"/>
  <c r="D17" i="127"/>
  <c r="C17" i="127"/>
  <c r="B17" i="127"/>
  <c r="D13" i="127"/>
  <c r="C13" i="127"/>
  <c r="B13" i="127"/>
  <c r="C10" i="127"/>
  <c r="D10" i="127" s="1"/>
  <c r="E10" i="127" s="1"/>
  <c r="F10" i="127" s="1"/>
  <c r="G10" i="127" s="1"/>
  <c r="H10" i="127" s="1"/>
  <c r="P46" i="114" l="1"/>
  <c r="S24" i="114"/>
  <c r="S27" i="114" s="1"/>
  <c r="H34" i="127"/>
  <c r="D34" i="127"/>
  <c r="G34" i="127"/>
  <c r="C34" i="127"/>
  <c r="Q24" i="114"/>
  <c r="Q27" i="114" s="1"/>
  <c r="L52" i="103"/>
  <c r="L51" i="103"/>
  <c r="L50" i="103"/>
  <c r="K50" i="103"/>
  <c r="K51" i="103"/>
  <c r="K52" i="103"/>
  <c r="J50" i="103"/>
  <c r="J51" i="103"/>
  <c r="J52" i="103"/>
  <c r="J32" i="112"/>
  <c r="J53" i="118"/>
  <c r="N36" i="112"/>
  <c r="N37" i="112" s="1"/>
  <c r="M48" i="112" s="1"/>
  <c r="M53" i="112" s="1"/>
  <c r="J51" i="114"/>
  <c r="J50" i="114"/>
  <c r="J55" i="114"/>
  <c r="J52" i="114"/>
  <c r="G37" i="112"/>
  <c r="G48" i="112" s="1"/>
  <c r="G53" i="112" s="1"/>
  <c r="F35" i="112"/>
  <c r="F37" i="112" s="1"/>
  <c r="C48" i="112" s="1"/>
  <c r="C53" i="112" s="1"/>
  <c r="K53" i="128"/>
  <c r="J48" i="128"/>
  <c r="K50" i="128"/>
  <c r="K51" i="128"/>
  <c r="K52" i="128"/>
  <c r="K55" i="128"/>
  <c r="K24" i="114"/>
  <c r="K27" i="114" s="1"/>
  <c r="K47" i="114" s="1"/>
  <c r="K51" i="114" s="1"/>
  <c r="L24" i="114"/>
  <c r="L27" i="114" s="1"/>
  <c r="L47" i="114" s="1"/>
  <c r="L51" i="114" s="1"/>
  <c r="M50" i="103"/>
  <c r="M51" i="103"/>
  <c r="M52" i="103"/>
  <c r="N50" i="103"/>
  <c r="N52" i="103"/>
  <c r="N51" i="103"/>
  <c r="O50" i="103"/>
  <c r="O52" i="103"/>
  <c r="O51" i="103"/>
  <c r="P22" i="114"/>
  <c r="P17" i="114"/>
  <c r="R29" i="114"/>
  <c r="R24" i="114"/>
  <c r="R27" i="114" s="1"/>
  <c r="N24" i="114"/>
  <c r="N27" i="114" s="1"/>
  <c r="N47" i="114" s="1"/>
  <c r="N29" i="114"/>
  <c r="I48" i="112"/>
  <c r="I53" i="112" s="1"/>
  <c r="J22" i="112"/>
  <c r="H24" i="112" s="1"/>
  <c r="J17" i="112"/>
  <c r="K30" i="112"/>
  <c r="J30" i="112" s="1"/>
  <c r="J48" i="112"/>
  <c r="J53" i="112" s="1"/>
  <c r="N30" i="112"/>
  <c r="N22" i="112"/>
  <c r="N17" i="112"/>
  <c r="H48" i="112"/>
  <c r="H53" i="112" s="1"/>
  <c r="E48" i="127"/>
  <c r="E53" i="127" s="1"/>
  <c r="B24" i="127"/>
  <c r="B27" i="127" s="1"/>
  <c r="B47" i="127" s="1"/>
  <c r="B51" i="127" s="1"/>
  <c r="B48" i="127"/>
  <c r="B53" i="127" s="1"/>
  <c r="F29" i="127"/>
  <c r="F34" i="127" s="1"/>
  <c r="C48" i="127"/>
  <c r="C53" i="127" s="1"/>
  <c r="E24" i="127"/>
  <c r="E27" i="127" s="1"/>
  <c r="E47" i="127" s="1"/>
  <c r="E52" i="127" s="1"/>
  <c r="B29" i="127"/>
  <c r="B34" i="127" s="1"/>
  <c r="C24" i="127"/>
  <c r="C27" i="127" s="1"/>
  <c r="C47" i="127" s="1"/>
  <c r="E29" i="127"/>
  <c r="E34" i="127" s="1"/>
  <c r="D48" i="127"/>
  <c r="D53" i="127" s="1"/>
  <c r="D24" i="127"/>
  <c r="D27" i="127" s="1"/>
  <c r="D47" i="127" s="1"/>
  <c r="W55" i="42"/>
  <c r="V55" i="42"/>
  <c r="U55" i="42"/>
  <c r="T55" i="42"/>
  <c r="S55" i="42"/>
  <c r="R55" i="42"/>
  <c r="Q55" i="42"/>
  <c r="P55" i="42"/>
  <c r="O42" i="42"/>
  <c r="N42" i="42"/>
  <c r="M42" i="42"/>
  <c r="L42" i="42"/>
  <c r="K42" i="42"/>
  <c r="R41" i="42"/>
  <c r="O41" i="42"/>
  <c r="S40" i="42"/>
  <c r="Q40" i="42"/>
  <c r="P40" i="42"/>
  <c r="P41" i="42" s="1"/>
  <c r="N40" i="42"/>
  <c r="M40" i="42"/>
  <c r="L40" i="42"/>
  <c r="V37" i="42"/>
  <c r="R37" i="42"/>
  <c r="N37" i="42"/>
  <c r="W36" i="42"/>
  <c r="U36" i="42"/>
  <c r="T36" i="42" s="1"/>
  <c r="Q36" i="42"/>
  <c r="P36" i="42" s="1"/>
  <c r="M36" i="42"/>
  <c r="L36" i="42"/>
  <c r="K36" i="42" s="1"/>
  <c r="W35" i="42"/>
  <c r="U35" i="42"/>
  <c r="T35" i="42" s="1"/>
  <c r="Q35" i="42"/>
  <c r="P35" i="42"/>
  <c r="M35" i="42"/>
  <c r="L35" i="42" s="1"/>
  <c r="W32" i="42"/>
  <c r="V32" i="42"/>
  <c r="U32" i="42"/>
  <c r="T32" i="42" s="1"/>
  <c r="R32" i="42"/>
  <c r="Q32" i="42" s="1"/>
  <c r="P32" i="42" s="1"/>
  <c r="N32" i="42"/>
  <c r="M32" i="42" s="1"/>
  <c r="L32" i="42" s="1"/>
  <c r="K32" i="42" s="1"/>
  <c r="W31" i="42"/>
  <c r="V31" i="42"/>
  <c r="T31" i="42" s="1"/>
  <c r="R31" i="42"/>
  <c r="P31" i="42" s="1"/>
  <c r="O31" i="42" s="1"/>
  <c r="M31" i="42"/>
  <c r="L31" i="42" s="1"/>
  <c r="K31" i="42" s="1"/>
  <c r="W30" i="42"/>
  <c r="V30" i="42"/>
  <c r="T30" i="42" s="1"/>
  <c r="S30" i="42" s="1"/>
  <c r="R30" i="42"/>
  <c r="P30" i="42" s="1"/>
  <c r="M30" i="42"/>
  <c r="L30" i="42" s="1"/>
  <c r="K30" i="42" s="1"/>
  <c r="R29" i="42"/>
  <c r="Q29" i="42"/>
  <c r="P29" i="42"/>
  <c r="O29" i="42"/>
  <c r="N29" i="42"/>
  <c r="O24" i="42"/>
  <c r="O27" i="42" s="1"/>
  <c r="O47" i="42" s="1"/>
  <c r="O50" i="42" s="1"/>
  <c r="N24" i="42"/>
  <c r="N27" i="42" s="1"/>
  <c r="N47" i="42" s="1"/>
  <c r="W22" i="42"/>
  <c r="W29" i="42" s="1"/>
  <c r="M22" i="42"/>
  <c r="V21" i="42"/>
  <c r="U21" i="42"/>
  <c r="T21" i="42"/>
  <c r="U20" i="42"/>
  <c r="T20" i="42"/>
  <c r="R20" i="42"/>
  <c r="Q20" i="42"/>
  <c r="P20" i="42"/>
  <c r="K20" i="42"/>
  <c r="O19" i="42"/>
  <c r="K19" i="42"/>
  <c r="V16" i="42"/>
  <c r="U16" i="42"/>
  <c r="T16" i="42"/>
  <c r="R16" i="42"/>
  <c r="Q16" i="42"/>
  <c r="Q17" i="42" s="1"/>
  <c r="P16" i="42"/>
  <c r="P21" i="42" s="1"/>
  <c r="N16" i="42"/>
  <c r="N17" i="42" s="1"/>
  <c r="M17" i="42"/>
  <c r="L16" i="42"/>
  <c r="L17" i="42" s="1"/>
  <c r="Q13" i="42"/>
  <c r="M13" i="42"/>
  <c r="W12" i="42"/>
  <c r="W17" i="42" s="1"/>
  <c r="V12" i="42"/>
  <c r="T12" i="42"/>
  <c r="T46" i="42" s="1"/>
  <c r="R12" i="42"/>
  <c r="K12" i="42"/>
  <c r="O65" i="1"/>
  <c r="C65" i="1"/>
  <c r="B50" i="127" l="1"/>
  <c r="K55" i="114"/>
  <c r="S12" i="42"/>
  <c r="S46" i="42" s="1"/>
  <c r="B52" i="127"/>
  <c r="V17" i="42"/>
  <c r="R17" i="42"/>
  <c r="S20" i="42"/>
  <c r="W37" i="42"/>
  <c r="E50" i="127"/>
  <c r="K52" i="114"/>
  <c r="I53" i="118"/>
  <c r="O52" i="42"/>
  <c r="Q21" i="42"/>
  <c r="U22" i="42"/>
  <c r="U29" i="42" s="1"/>
  <c r="N50" i="42"/>
  <c r="S21" i="42"/>
  <c r="T37" i="42"/>
  <c r="M37" i="42"/>
  <c r="E51" i="127"/>
  <c r="T22" i="42"/>
  <c r="T29" i="42" s="1"/>
  <c r="S36" i="42"/>
  <c r="K46" i="42"/>
  <c r="G13" i="42"/>
  <c r="H46" i="42"/>
  <c r="I46" i="42"/>
  <c r="J46" i="42"/>
  <c r="O20" i="42"/>
  <c r="L22" i="42"/>
  <c r="L29" i="42" s="1"/>
  <c r="K50" i="114"/>
  <c r="D48" i="112"/>
  <c r="D53" i="112" s="1"/>
  <c r="E48" i="112"/>
  <c r="E53" i="112" s="1"/>
  <c r="F48" i="112"/>
  <c r="F53" i="112" s="1"/>
  <c r="K48" i="112"/>
  <c r="K53" i="112" s="1"/>
  <c r="L48" i="112"/>
  <c r="L53" i="112" s="1"/>
  <c r="I48" i="128"/>
  <c r="J53" i="128"/>
  <c r="L50" i="114"/>
  <c r="L55" i="114"/>
  <c r="L52" i="114"/>
  <c r="M29" i="42"/>
  <c r="N55" i="114"/>
  <c r="N52" i="114"/>
  <c r="N51" i="114"/>
  <c r="N50" i="114"/>
  <c r="P29" i="114"/>
  <c r="P24" i="114"/>
  <c r="P27" i="114" s="1"/>
  <c r="P47" i="114" s="1"/>
  <c r="M24" i="114"/>
  <c r="O24" i="114"/>
  <c r="G24" i="112"/>
  <c r="G27" i="112" s="1"/>
  <c r="G47" i="112" s="1"/>
  <c r="J29" i="112"/>
  <c r="J24" i="112"/>
  <c r="J27" i="112" s="1"/>
  <c r="J47" i="112" s="1"/>
  <c r="I24" i="112"/>
  <c r="L24" i="112"/>
  <c r="L27" i="112" s="1"/>
  <c r="L47" i="112" s="1"/>
  <c r="N29" i="112"/>
  <c r="M24" i="112"/>
  <c r="M27" i="112" s="1"/>
  <c r="M47" i="112" s="1"/>
  <c r="K24" i="112"/>
  <c r="K27" i="112" s="1"/>
  <c r="K47" i="112" s="1"/>
  <c r="C52" i="127"/>
  <c r="C50" i="127"/>
  <c r="C51" i="127"/>
  <c r="D51" i="127"/>
  <c r="D50" i="127"/>
  <c r="D52" i="127"/>
  <c r="S13" i="42"/>
  <c r="L37" i="42"/>
  <c r="K35" i="42"/>
  <c r="K37" i="42" s="1"/>
  <c r="V22" i="42"/>
  <c r="V29" i="42" s="1"/>
  <c r="S16" i="42"/>
  <c r="R21" i="42"/>
  <c r="O16" i="42"/>
  <c r="P37" i="42"/>
  <c r="Q46" i="42"/>
  <c r="N21" i="42"/>
  <c r="K21" i="42" s="1"/>
  <c r="K16" i="42"/>
  <c r="T24" i="42"/>
  <c r="T27" i="42" s="1"/>
  <c r="T47" i="42" s="1"/>
  <c r="O55" i="42"/>
  <c r="Q37" i="42"/>
  <c r="U37" i="42"/>
  <c r="L41" i="42"/>
  <c r="R46" i="42"/>
  <c r="P12" i="42"/>
  <c r="P17" i="42" s="1"/>
  <c r="T17" i="42"/>
  <c r="O30" i="42"/>
  <c r="R40" i="42"/>
  <c r="M41" i="42"/>
  <c r="Q41" i="42"/>
  <c r="O51" i="42"/>
  <c r="N13" i="42"/>
  <c r="R13" i="42"/>
  <c r="U17" i="42"/>
  <c r="L24" i="42"/>
  <c r="L27" i="42" s="1"/>
  <c r="L47" i="42" s="1"/>
  <c r="L50" i="42" s="1"/>
  <c r="S31" i="42"/>
  <c r="O32" i="42"/>
  <c r="S32" i="42"/>
  <c r="S35" i="42"/>
  <c r="S37" i="42" s="1"/>
  <c r="O36" i="42"/>
  <c r="N41" i="42"/>
  <c r="N55" i="42" s="1"/>
  <c r="M24" i="42"/>
  <c r="M27" i="42" s="1"/>
  <c r="M47" i="42" s="1"/>
  <c r="O35" i="42"/>
  <c r="S41" i="42"/>
  <c r="T55" i="121"/>
  <c r="S55" i="121"/>
  <c r="R55" i="121"/>
  <c r="N55" i="121"/>
  <c r="M55" i="121"/>
  <c r="L55" i="121"/>
  <c r="O46" i="121"/>
  <c r="N46" i="121"/>
  <c r="M46" i="121"/>
  <c r="L46" i="121"/>
  <c r="N41" i="121"/>
  <c r="M41" i="121"/>
  <c r="L40" i="121"/>
  <c r="L41" i="121" s="1"/>
  <c r="R37" i="121"/>
  <c r="Q37" i="121"/>
  <c r="P37" i="121"/>
  <c r="O37" i="121"/>
  <c r="N37" i="121"/>
  <c r="M37" i="121"/>
  <c r="R22" i="121"/>
  <c r="R29" i="121" s="1"/>
  <c r="Q22" i="121"/>
  <c r="Q29" i="121" s="1"/>
  <c r="P22" i="121"/>
  <c r="P29" i="121" s="1"/>
  <c r="O22" i="121"/>
  <c r="O29" i="121" s="1"/>
  <c r="N22" i="121"/>
  <c r="N29" i="121" s="1"/>
  <c r="M22" i="121"/>
  <c r="L22" i="121"/>
  <c r="L29" i="121" s="1"/>
  <c r="R17" i="121"/>
  <c r="Q17" i="121"/>
  <c r="P17" i="121"/>
  <c r="O17" i="121"/>
  <c r="N17" i="121"/>
  <c r="M17" i="121"/>
  <c r="L17" i="121"/>
  <c r="N13" i="121"/>
  <c r="M13" i="121"/>
  <c r="L13" i="121"/>
  <c r="N10" i="121"/>
  <c r="O10" i="121" s="1"/>
  <c r="P10" i="121" s="1"/>
  <c r="Q10" i="121" s="1"/>
  <c r="R10" i="121" s="1"/>
  <c r="S10" i="121" s="1"/>
  <c r="T10" i="121" s="1"/>
  <c r="X55" i="82"/>
  <c r="W55" i="82"/>
  <c r="V55" i="82"/>
  <c r="U55" i="82"/>
  <c r="T55" i="82"/>
  <c r="S55" i="82"/>
  <c r="R55" i="82"/>
  <c r="Q55" i="82"/>
  <c r="P55" i="82"/>
  <c r="O55" i="82"/>
  <c r="N55" i="82"/>
  <c r="M55" i="82"/>
  <c r="L55" i="82"/>
  <c r="T47" i="82"/>
  <c r="S47" i="82"/>
  <c r="R47" i="82"/>
  <c r="Q47" i="82"/>
  <c r="P47" i="82"/>
  <c r="P52" i="82" s="1"/>
  <c r="O47" i="82"/>
  <c r="U46" i="82"/>
  <c r="T46" i="82"/>
  <c r="S46" i="82"/>
  <c r="R46" i="82"/>
  <c r="Q46" i="82"/>
  <c r="P46" i="82"/>
  <c r="O46" i="82"/>
  <c r="N46" i="82"/>
  <c r="M46" i="82"/>
  <c r="L46" i="82"/>
  <c r="U44" i="82"/>
  <c r="T44" i="82"/>
  <c r="S44" i="82"/>
  <c r="R44" i="82"/>
  <c r="Q44" i="82"/>
  <c r="U40" i="82"/>
  <c r="U41" i="82" s="1"/>
  <c r="T40" i="82"/>
  <c r="T41" i="82" s="1"/>
  <c r="S40" i="82"/>
  <c r="S41" i="82" s="1"/>
  <c r="R40" i="82"/>
  <c r="R41" i="82" s="1"/>
  <c r="Q40" i="82"/>
  <c r="Q41" i="82" s="1"/>
  <c r="P40" i="82"/>
  <c r="O40" i="82"/>
  <c r="O41" i="82" s="1"/>
  <c r="N40" i="82"/>
  <c r="N41" i="82" s="1"/>
  <c r="M40" i="82"/>
  <c r="L40" i="82"/>
  <c r="L41" i="82" s="1"/>
  <c r="M39" i="82"/>
  <c r="V37" i="82"/>
  <c r="R37" i="82"/>
  <c r="N37" i="82"/>
  <c r="X36" i="82"/>
  <c r="W36" i="82"/>
  <c r="U36" i="82"/>
  <c r="T36" i="82" s="1"/>
  <c r="Q36" i="82"/>
  <c r="P36" i="82" s="1"/>
  <c r="O36" i="82" s="1"/>
  <c r="M36" i="82"/>
  <c r="L36" i="82" s="1"/>
  <c r="X35" i="82"/>
  <c r="W35" i="82"/>
  <c r="U35" i="82"/>
  <c r="T35" i="82" s="1"/>
  <c r="Q35" i="82"/>
  <c r="P35" i="82" s="1"/>
  <c r="O35" i="82" s="1"/>
  <c r="M35" i="82"/>
  <c r="L35" i="82" s="1"/>
  <c r="V32" i="82"/>
  <c r="U32" i="82" s="1"/>
  <c r="R32" i="82"/>
  <c r="Q32" i="82" s="1"/>
  <c r="P32" i="82" s="1"/>
  <c r="O32" i="82" s="1"/>
  <c r="M32" i="82"/>
  <c r="L32" i="82" s="1"/>
  <c r="P31" i="82"/>
  <c r="O31" i="82" s="1"/>
  <c r="N31" i="82"/>
  <c r="M31" i="82" s="1"/>
  <c r="L31" i="82" s="1"/>
  <c r="V30" i="82"/>
  <c r="U30" i="82" s="1"/>
  <c r="R30" i="82"/>
  <c r="Q30" i="82" s="1"/>
  <c r="P30" i="82" s="1"/>
  <c r="O30" i="82" s="1"/>
  <c r="N30" i="82"/>
  <c r="M30" i="82" s="1"/>
  <c r="L30" i="82" s="1"/>
  <c r="U27" i="82"/>
  <c r="U47" i="82" s="1"/>
  <c r="X22" i="82"/>
  <c r="X29" i="82" s="1"/>
  <c r="W22" i="82"/>
  <c r="W29" i="82" s="1"/>
  <c r="V22" i="82"/>
  <c r="U22" i="82"/>
  <c r="U29" i="82" s="1"/>
  <c r="T22" i="82"/>
  <c r="T29" i="82" s="1"/>
  <c r="S22" i="82"/>
  <c r="S29" i="82" s="1"/>
  <c r="P22" i="82"/>
  <c r="P29" i="82" s="1"/>
  <c r="O22" i="82"/>
  <c r="O29" i="82" s="1"/>
  <c r="N22" i="82"/>
  <c r="M22" i="82"/>
  <c r="M29" i="82" s="1"/>
  <c r="L22" i="82"/>
  <c r="R21" i="82"/>
  <c r="R22" i="82" s="1"/>
  <c r="Q21" i="82"/>
  <c r="Q22" i="82" s="1"/>
  <c r="X17" i="82"/>
  <c r="W17" i="82"/>
  <c r="V17" i="82"/>
  <c r="U17" i="82"/>
  <c r="T17" i="82"/>
  <c r="S17" i="82"/>
  <c r="R17" i="82"/>
  <c r="Q17" i="82"/>
  <c r="P17" i="82"/>
  <c r="O17" i="82"/>
  <c r="N17" i="82"/>
  <c r="M17" i="82"/>
  <c r="L17" i="82"/>
  <c r="T13" i="82"/>
  <c r="S13" i="82"/>
  <c r="R13" i="82"/>
  <c r="Q13" i="82"/>
  <c r="P13" i="82"/>
  <c r="O13" i="82"/>
  <c r="N13" i="82"/>
  <c r="M13" i="82"/>
  <c r="L13" i="82"/>
  <c r="V55" i="81"/>
  <c r="U55" i="81"/>
  <c r="T55" i="81"/>
  <c r="S55" i="81"/>
  <c r="R55" i="81"/>
  <c r="Q55" i="81"/>
  <c r="P55" i="81"/>
  <c r="O55" i="81"/>
  <c r="N55" i="81"/>
  <c r="M55" i="81"/>
  <c r="L55" i="81"/>
  <c r="K55" i="81"/>
  <c r="J55" i="81"/>
  <c r="S46" i="81"/>
  <c r="R46" i="81"/>
  <c r="Q46" i="81"/>
  <c r="P46" i="81"/>
  <c r="O46" i="81"/>
  <c r="N46" i="81"/>
  <c r="M46" i="81"/>
  <c r="L46" i="81"/>
  <c r="K46" i="81"/>
  <c r="J46" i="81"/>
  <c r="M40" i="81"/>
  <c r="L40" i="81"/>
  <c r="L41" i="81" s="1"/>
  <c r="K40" i="81"/>
  <c r="K41" i="81" s="1"/>
  <c r="J40" i="81"/>
  <c r="J41" i="81" s="1"/>
  <c r="V37" i="81"/>
  <c r="U37" i="81"/>
  <c r="T37" i="81"/>
  <c r="S37" i="81"/>
  <c r="R37" i="81"/>
  <c r="Q37" i="81"/>
  <c r="P37" i="81"/>
  <c r="N37" i="81"/>
  <c r="L37" i="81"/>
  <c r="J37" i="81"/>
  <c r="O36" i="81"/>
  <c r="K36" i="81"/>
  <c r="P32" i="81"/>
  <c r="O32" i="81"/>
  <c r="N32" i="81"/>
  <c r="K32" i="81"/>
  <c r="J32" i="81"/>
  <c r="P31" i="81"/>
  <c r="O31" i="81"/>
  <c r="N31" i="81"/>
  <c r="L31" i="81"/>
  <c r="K31" i="81"/>
  <c r="J31" i="81"/>
  <c r="P30" i="81"/>
  <c r="O30" i="81"/>
  <c r="N30" i="81"/>
  <c r="L30" i="81"/>
  <c r="K30" i="81"/>
  <c r="J30" i="81"/>
  <c r="V22" i="81"/>
  <c r="V29" i="81" s="1"/>
  <c r="U22" i="81"/>
  <c r="U29" i="81" s="1"/>
  <c r="T22" i="81"/>
  <c r="T29" i="81" s="1"/>
  <c r="S22" i="81"/>
  <c r="S29" i="81" s="1"/>
  <c r="R22" i="81"/>
  <c r="Q22" i="81"/>
  <c r="Q29" i="81" s="1"/>
  <c r="P22" i="81"/>
  <c r="P29" i="81" s="1"/>
  <c r="O22" i="81"/>
  <c r="O29" i="81" s="1"/>
  <c r="N22" i="81"/>
  <c r="M22" i="81"/>
  <c r="M29" i="81" s="1"/>
  <c r="L22" i="81"/>
  <c r="L29" i="81" s="1"/>
  <c r="K22" i="81"/>
  <c r="K29" i="81" s="1"/>
  <c r="J22" i="81"/>
  <c r="V17" i="81"/>
  <c r="U17" i="81"/>
  <c r="T17" i="81"/>
  <c r="S17" i="81"/>
  <c r="R17" i="81"/>
  <c r="Q17" i="81"/>
  <c r="P17" i="81"/>
  <c r="O17" i="81"/>
  <c r="N17" i="81"/>
  <c r="M17" i="81"/>
  <c r="L17" i="81"/>
  <c r="K17" i="81"/>
  <c r="J17" i="81"/>
  <c r="R13" i="81"/>
  <c r="Q13" i="81"/>
  <c r="P13" i="81"/>
  <c r="O13" i="81"/>
  <c r="N13" i="81"/>
  <c r="M13" i="81"/>
  <c r="L13" i="81"/>
  <c r="K13" i="81"/>
  <c r="J13" i="81"/>
  <c r="M55" i="69"/>
  <c r="L55" i="69"/>
  <c r="K55" i="69"/>
  <c r="I55" i="69"/>
  <c r="H55" i="69"/>
  <c r="G55" i="69"/>
  <c r="F55" i="69"/>
  <c r="E55" i="69"/>
  <c r="D55" i="69"/>
  <c r="C55" i="69"/>
  <c r="B55" i="69"/>
  <c r="B50" i="69"/>
  <c r="J47" i="69"/>
  <c r="J46" i="69"/>
  <c r="I46" i="69"/>
  <c r="H46" i="69"/>
  <c r="G46" i="69"/>
  <c r="F46" i="69"/>
  <c r="E46" i="69"/>
  <c r="D46" i="69"/>
  <c r="C46" i="69"/>
  <c r="B41" i="69"/>
  <c r="B52" i="69" s="1"/>
  <c r="L37" i="69"/>
  <c r="K37" i="69"/>
  <c r="J37" i="69"/>
  <c r="I37" i="69"/>
  <c r="H37" i="69"/>
  <c r="G37" i="69"/>
  <c r="F37" i="69"/>
  <c r="E37" i="69"/>
  <c r="D37" i="69"/>
  <c r="C37" i="69"/>
  <c r="B35" i="69"/>
  <c r="B37" i="69" s="1"/>
  <c r="L32" i="69"/>
  <c r="K32" i="69"/>
  <c r="J32" i="69"/>
  <c r="H32" i="69"/>
  <c r="G32" i="69"/>
  <c r="F32" i="69"/>
  <c r="D32" i="69"/>
  <c r="C32" i="69"/>
  <c r="B32" i="69"/>
  <c r="E30" i="69"/>
  <c r="B30" i="69"/>
  <c r="B27" i="69"/>
  <c r="L22" i="69"/>
  <c r="L29" i="69" s="1"/>
  <c r="K22" i="69"/>
  <c r="K29" i="69" s="1"/>
  <c r="J22" i="69"/>
  <c r="J29" i="69" s="1"/>
  <c r="I22" i="69"/>
  <c r="I29" i="69" s="1"/>
  <c r="H22" i="69"/>
  <c r="H29" i="69" s="1"/>
  <c r="G22" i="69"/>
  <c r="G29" i="69" s="1"/>
  <c r="F22" i="69"/>
  <c r="F29" i="69" s="1"/>
  <c r="E22" i="69"/>
  <c r="E29" i="69" s="1"/>
  <c r="D22" i="69"/>
  <c r="D29" i="69" s="1"/>
  <c r="C22" i="69"/>
  <c r="C29" i="69" s="1"/>
  <c r="L17" i="69"/>
  <c r="K17" i="69"/>
  <c r="J17" i="69"/>
  <c r="I17" i="69"/>
  <c r="H17" i="69"/>
  <c r="G17" i="69"/>
  <c r="F17" i="69"/>
  <c r="E17" i="69"/>
  <c r="D17" i="69"/>
  <c r="C17" i="69"/>
  <c r="B16" i="69"/>
  <c r="B22" i="69" s="1"/>
  <c r="B29" i="69" s="1"/>
  <c r="H13" i="69"/>
  <c r="G13" i="69"/>
  <c r="F13" i="69"/>
  <c r="E13" i="69"/>
  <c r="D13" i="69"/>
  <c r="C13" i="69"/>
  <c r="B13" i="69"/>
  <c r="G10" i="69"/>
  <c r="H10" i="69" s="1"/>
  <c r="I10" i="69" s="1"/>
  <c r="J10" i="69" s="1"/>
  <c r="K10" i="69" s="1"/>
  <c r="L10" i="69" s="1"/>
  <c r="M10" i="69" s="1"/>
  <c r="V55" i="68"/>
  <c r="U55" i="68"/>
  <c r="T55" i="68"/>
  <c r="S55" i="68"/>
  <c r="R55" i="68"/>
  <c r="Q55" i="68"/>
  <c r="P55" i="68"/>
  <c r="O55" i="68"/>
  <c r="N55" i="68"/>
  <c r="M55" i="68"/>
  <c r="L55" i="68"/>
  <c r="K55" i="68"/>
  <c r="J55" i="68"/>
  <c r="R41" i="68"/>
  <c r="S40" i="68"/>
  <c r="S41" i="68" s="1"/>
  <c r="Q40" i="68"/>
  <c r="Q41" i="68" s="1"/>
  <c r="P40" i="68"/>
  <c r="P41" i="68" s="1"/>
  <c r="O40" i="68"/>
  <c r="O41" i="68" s="1"/>
  <c r="N40" i="68"/>
  <c r="N41" i="68" s="1"/>
  <c r="M40" i="68"/>
  <c r="M41" i="68" s="1"/>
  <c r="K40" i="68"/>
  <c r="K41" i="68" s="1"/>
  <c r="J40" i="68"/>
  <c r="J41" i="68" s="1"/>
  <c r="T37" i="68"/>
  <c r="P37" i="68"/>
  <c r="L37" i="68"/>
  <c r="V36" i="68"/>
  <c r="U36" i="68"/>
  <c r="S36" i="68"/>
  <c r="R36" i="68" s="1"/>
  <c r="O36" i="68"/>
  <c r="N36" i="68" s="1"/>
  <c r="M36" i="68" s="1"/>
  <c r="K36" i="68"/>
  <c r="J36" i="68" s="1"/>
  <c r="I36" i="68" s="1"/>
  <c r="V35" i="68"/>
  <c r="U35" i="68"/>
  <c r="S35" i="68"/>
  <c r="R35" i="68" s="1"/>
  <c r="O35" i="68"/>
  <c r="N35" i="68" s="1"/>
  <c r="K35" i="68"/>
  <c r="J35" i="68" s="1"/>
  <c r="I35" i="68" s="1"/>
  <c r="V32" i="68"/>
  <c r="U32" i="68"/>
  <c r="T32" i="68"/>
  <c r="S32" i="68" s="1"/>
  <c r="P32" i="68"/>
  <c r="O32" i="68" s="1"/>
  <c r="L32" i="68"/>
  <c r="K32" i="68" s="1"/>
  <c r="J32" i="68" s="1"/>
  <c r="I32" i="68" s="1"/>
  <c r="V31" i="68"/>
  <c r="U31" i="68"/>
  <c r="T31" i="68"/>
  <c r="S31" i="68"/>
  <c r="P31" i="68"/>
  <c r="O31" i="68" s="1"/>
  <c r="L31" i="68"/>
  <c r="K31" i="68" s="1"/>
  <c r="J31" i="68" s="1"/>
  <c r="I31" i="68" s="1"/>
  <c r="V30" i="68"/>
  <c r="U30" i="68"/>
  <c r="T30" i="68"/>
  <c r="S30" i="68" s="1"/>
  <c r="R30" i="68" s="1"/>
  <c r="P30" i="68"/>
  <c r="O30" i="68" s="1"/>
  <c r="N30" i="68" s="1"/>
  <c r="L30" i="68"/>
  <c r="K30" i="68" s="1"/>
  <c r="J30" i="68" s="1"/>
  <c r="I30" i="68" s="1"/>
  <c r="V29" i="68"/>
  <c r="T29" i="68"/>
  <c r="S29" i="68"/>
  <c r="R29" i="68"/>
  <c r="P29" i="68"/>
  <c r="O29" i="68"/>
  <c r="N29" i="68"/>
  <c r="L29" i="68"/>
  <c r="K29" i="68"/>
  <c r="J29" i="68"/>
  <c r="S25" i="68"/>
  <c r="R25" i="68"/>
  <c r="Q25" i="68"/>
  <c r="P25" i="68"/>
  <c r="O25" i="68"/>
  <c r="N25" i="68"/>
  <c r="M25" i="68"/>
  <c r="L25" i="68"/>
  <c r="K25" i="68"/>
  <c r="J25" i="68"/>
  <c r="U22" i="68"/>
  <c r="U29" i="68" s="1"/>
  <c r="Q22" i="68"/>
  <c r="P24" i="68" s="1"/>
  <c r="P27" i="68" s="1"/>
  <c r="P47" i="68" s="1"/>
  <c r="M22" i="68"/>
  <c r="L24" i="68" s="1"/>
  <c r="J21" i="68"/>
  <c r="J33" i="68" s="1"/>
  <c r="U20" i="68"/>
  <c r="R20" i="68"/>
  <c r="M20" i="68"/>
  <c r="N17" i="68"/>
  <c r="J17" i="68"/>
  <c r="V16" i="68"/>
  <c r="V17" i="68" s="1"/>
  <c r="U16" i="68"/>
  <c r="T16" i="68"/>
  <c r="T21" i="68" s="1"/>
  <c r="T33" i="68" s="1"/>
  <c r="S16" i="68"/>
  <c r="S21" i="68" s="1"/>
  <c r="S33" i="68" s="1"/>
  <c r="R16" i="68"/>
  <c r="P16" i="68"/>
  <c r="P21" i="68" s="1"/>
  <c r="P33" i="68" s="1"/>
  <c r="O16" i="68"/>
  <c r="O21" i="68" s="1"/>
  <c r="O33" i="68" s="1"/>
  <c r="N16" i="68"/>
  <c r="N21" i="68" s="1"/>
  <c r="N33" i="68" s="1"/>
  <c r="L16" i="68"/>
  <c r="L21" i="68" s="1"/>
  <c r="L33" i="68" s="1"/>
  <c r="K16" i="68"/>
  <c r="K17" i="68" s="1"/>
  <c r="R13" i="68"/>
  <c r="P13" i="68"/>
  <c r="O13" i="68"/>
  <c r="N13" i="68"/>
  <c r="L13" i="68"/>
  <c r="K13" i="68"/>
  <c r="J13" i="68"/>
  <c r="U12" i="68"/>
  <c r="S46" i="68" s="1"/>
  <c r="Q12" i="68"/>
  <c r="P46" i="68" s="1"/>
  <c r="M12" i="68"/>
  <c r="X55" i="65"/>
  <c r="W55" i="65"/>
  <c r="V55" i="65"/>
  <c r="U46" i="65"/>
  <c r="T46" i="65"/>
  <c r="S46" i="65"/>
  <c r="R46" i="65"/>
  <c r="Q46" i="65"/>
  <c r="P46" i="65"/>
  <c r="O46" i="65"/>
  <c r="N46" i="65"/>
  <c r="M46" i="65"/>
  <c r="L46" i="65"/>
  <c r="U40" i="65"/>
  <c r="T40" i="65"/>
  <c r="S40" i="65"/>
  <c r="R40" i="65"/>
  <c r="Q40" i="65"/>
  <c r="P40" i="65"/>
  <c r="P41" i="65" s="1"/>
  <c r="O40" i="65"/>
  <c r="N40" i="65"/>
  <c r="M40" i="65"/>
  <c r="L40" i="65"/>
  <c r="L41" i="65" s="1"/>
  <c r="X37" i="65"/>
  <c r="W37" i="65"/>
  <c r="V37" i="65"/>
  <c r="U37" i="65"/>
  <c r="T37" i="65"/>
  <c r="S37" i="65"/>
  <c r="R37" i="65"/>
  <c r="Q37" i="65"/>
  <c r="P37" i="65"/>
  <c r="O37" i="65"/>
  <c r="N37" i="65"/>
  <c r="N48" i="65" s="1"/>
  <c r="N53" i="65" s="1"/>
  <c r="M37" i="65"/>
  <c r="J48" i="65" s="1"/>
  <c r="J53" i="65" s="1"/>
  <c r="L37" i="65"/>
  <c r="I48" i="65" s="1"/>
  <c r="I53" i="65" s="1"/>
  <c r="X22" i="65"/>
  <c r="X29" i="65" s="1"/>
  <c r="X34" i="65" s="1"/>
  <c r="W22" i="65"/>
  <c r="W29" i="65" s="1"/>
  <c r="W34" i="65" s="1"/>
  <c r="V22" i="65"/>
  <c r="V29" i="65" s="1"/>
  <c r="V34" i="65" s="1"/>
  <c r="U22" i="65"/>
  <c r="T22" i="65"/>
  <c r="S22" i="65"/>
  <c r="R22" i="65"/>
  <c r="R29" i="65" s="1"/>
  <c r="R34" i="65" s="1"/>
  <c r="Q22" i="65"/>
  <c r="Q29" i="65" s="1"/>
  <c r="Q34" i="65" s="1"/>
  <c r="P22" i="65"/>
  <c r="O22" i="65"/>
  <c r="N22" i="65"/>
  <c r="N29" i="65" s="1"/>
  <c r="N34" i="65" s="1"/>
  <c r="M22" i="65"/>
  <c r="L22" i="65"/>
  <c r="X17" i="65"/>
  <c r="W17" i="65"/>
  <c r="V17" i="65"/>
  <c r="U17" i="65"/>
  <c r="T17" i="65"/>
  <c r="S17" i="65"/>
  <c r="R17" i="65"/>
  <c r="Q17" i="65"/>
  <c r="P17" i="65"/>
  <c r="O17" i="65"/>
  <c r="N17" i="65"/>
  <c r="M17" i="65"/>
  <c r="L17" i="65"/>
  <c r="T13" i="65"/>
  <c r="S13" i="65"/>
  <c r="R13" i="65"/>
  <c r="Q13" i="65"/>
  <c r="P13" i="65"/>
  <c r="O13" i="65"/>
  <c r="N13" i="65"/>
  <c r="M13" i="65"/>
  <c r="L13" i="65"/>
  <c r="X55" i="63"/>
  <c r="W55" i="63"/>
  <c r="V55" i="63"/>
  <c r="U55" i="63"/>
  <c r="T55" i="63"/>
  <c r="S55" i="63"/>
  <c r="R55" i="63"/>
  <c r="Q55" i="63"/>
  <c r="P55" i="63"/>
  <c r="O55" i="63"/>
  <c r="N55" i="63"/>
  <c r="M55" i="63"/>
  <c r="L55" i="63"/>
  <c r="U46" i="63"/>
  <c r="T46" i="63"/>
  <c r="S46" i="63"/>
  <c r="R46" i="63"/>
  <c r="Q46" i="63"/>
  <c r="P46" i="63"/>
  <c r="O46" i="63"/>
  <c r="N46" i="63"/>
  <c r="M46" i="63"/>
  <c r="L46" i="63"/>
  <c r="U40" i="63"/>
  <c r="T40" i="63"/>
  <c r="S40" i="63"/>
  <c r="R40" i="63"/>
  <c r="Q40" i="63"/>
  <c r="P40" i="63"/>
  <c r="P41" i="63" s="1"/>
  <c r="O40" i="63"/>
  <c r="O41" i="63" s="1"/>
  <c r="N40" i="63"/>
  <c r="N41" i="63" s="1"/>
  <c r="M40" i="63"/>
  <c r="M41" i="63" s="1"/>
  <c r="L40" i="63"/>
  <c r="L41" i="63" s="1"/>
  <c r="X37" i="63"/>
  <c r="W37" i="63"/>
  <c r="V37" i="63"/>
  <c r="U37" i="63"/>
  <c r="T37" i="63"/>
  <c r="S37" i="63"/>
  <c r="R37" i="63"/>
  <c r="Q37" i="63"/>
  <c r="P37" i="63"/>
  <c r="O37" i="63"/>
  <c r="N37" i="63"/>
  <c r="M37" i="63"/>
  <c r="L37" i="63"/>
  <c r="X29" i="63"/>
  <c r="W29" i="63"/>
  <c r="V29" i="63"/>
  <c r="U29" i="63"/>
  <c r="T29" i="63"/>
  <c r="S29" i="63"/>
  <c r="R29" i="63"/>
  <c r="Q29" i="63"/>
  <c r="O29" i="63"/>
  <c r="N29" i="63"/>
  <c r="M29" i="63"/>
  <c r="U24" i="63"/>
  <c r="U27" i="63" s="1"/>
  <c r="U47" i="63" s="1"/>
  <c r="T24" i="63"/>
  <c r="T27" i="63" s="1"/>
  <c r="T47" i="63" s="1"/>
  <c r="S24" i="63"/>
  <c r="S27" i="63" s="1"/>
  <c r="S47" i="63" s="1"/>
  <c r="R24" i="63"/>
  <c r="R27" i="63" s="1"/>
  <c r="R47" i="63" s="1"/>
  <c r="Q24" i="63"/>
  <c r="Q27" i="63" s="1"/>
  <c r="Q47" i="63" s="1"/>
  <c r="P22" i="63"/>
  <c r="P24" i="63" s="1"/>
  <c r="P27" i="63" s="1"/>
  <c r="P47" i="63" s="1"/>
  <c r="X21" i="63"/>
  <c r="W21" i="63"/>
  <c r="V21" i="63"/>
  <c r="U21" i="63"/>
  <c r="T21" i="63"/>
  <c r="S21" i="63"/>
  <c r="R21" i="63"/>
  <c r="Q21" i="63"/>
  <c r="O21" i="63"/>
  <c r="X17" i="63"/>
  <c r="W17" i="63"/>
  <c r="V17" i="63"/>
  <c r="U17" i="63"/>
  <c r="T17" i="63"/>
  <c r="S17" i="63"/>
  <c r="R17" i="63"/>
  <c r="Q17" i="63"/>
  <c r="P17" i="63"/>
  <c r="O17" i="63"/>
  <c r="N17" i="63"/>
  <c r="M17" i="63"/>
  <c r="L17" i="63"/>
  <c r="T13" i="63"/>
  <c r="S13" i="63"/>
  <c r="R13" i="63"/>
  <c r="Q13" i="63"/>
  <c r="P13" i="63"/>
  <c r="O13" i="63"/>
  <c r="N13" i="63"/>
  <c r="M13" i="63"/>
  <c r="L13" i="63"/>
  <c r="V55" i="47"/>
  <c r="S46" i="47"/>
  <c r="R46" i="47"/>
  <c r="Q46" i="47"/>
  <c r="P46" i="47"/>
  <c r="P40" i="47"/>
  <c r="O40" i="47"/>
  <c r="N41" i="47" s="1"/>
  <c r="M41" i="47"/>
  <c r="V37" i="47"/>
  <c r="U37" i="47"/>
  <c r="T37" i="47"/>
  <c r="S37" i="47"/>
  <c r="R37" i="47"/>
  <c r="Q37" i="47"/>
  <c r="P37" i="47"/>
  <c r="N37" i="47"/>
  <c r="M37" i="47"/>
  <c r="L37" i="47"/>
  <c r="I48" i="47" s="1"/>
  <c r="I53" i="47" s="1"/>
  <c r="O36" i="47"/>
  <c r="O35" i="47"/>
  <c r="V32" i="47"/>
  <c r="U32" i="47"/>
  <c r="T32" i="47"/>
  <c r="R32" i="47"/>
  <c r="Q32" i="47"/>
  <c r="P32" i="47"/>
  <c r="K32" i="47"/>
  <c r="S31" i="47"/>
  <c r="K31" i="47"/>
  <c r="S30" i="47"/>
  <c r="O30" i="47"/>
  <c r="K30" i="47"/>
  <c r="V29" i="47"/>
  <c r="U29" i="47"/>
  <c r="T29" i="47"/>
  <c r="S29" i="47"/>
  <c r="R29" i="47"/>
  <c r="Q29" i="47"/>
  <c r="N29" i="47"/>
  <c r="M29" i="47"/>
  <c r="P26" i="47"/>
  <c r="S24" i="47"/>
  <c r="S27" i="47" s="1"/>
  <c r="S47" i="47" s="1"/>
  <c r="R24" i="47"/>
  <c r="R27" i="47" s="1"/>
  <c r="R47" i="47" s="1"/>
  <c r="Q24" i="47"/>
  <c r="Q27" i="47" s="1"/>
  <c r="Q47" i="47" s="1"/>
  <c r="V21" i="47"/>
  <c r="U21" i="47"/>
  <c r="T21" i="47"/>
  <c r="S21" i="47"/>
  <c r="R21" i="47"/>
  <c r="N21" i="47"/>
  <c r="V17" i="47"/>
  <c r="U17" i="47"/>
  <c r="T17" i="47"/>
  <c r="S17" i="47"/>
  <c r="R17" i="47"/>
  <c r="N17" i="47"/>
  <c r="Q16" i="47"/>
  <c r="Q21" i="47" s="1"/>
  <c r="P16" i="47"/>
  <c r="P22" i="47" s="1"/>
  <c r="M16" i="47"/>
  <c r="M21" i="47" s="1"/>
  <c r="L16" i="47"/>
  <c r="R13" i="47"/>
  <c r="Q13" i="47"/>
  <c r="P13" i="47"/>
  <c r="N13" i="47"/>
  <c r="M13" i="47"/>
  <c r="L13" i="47"/>
  <c r="O12" i="47"/>
  <c r="E65" i="1"/>
  <c r="J65" i="1"/>
  <c r="F65" i="1"/>
  <c r="I32" i="81" l="1"/>
  <c r="R51" i="82"/>
  <c r="X37" i="82"/>
  <c r="T34" i="68"/>
  <c r="I31" i="81"/>
  <c r="M32" i="81"/>
  <c r="P48" i="81"/>
  <c r="P53" i="81" s="1"/>
  <c r="M24" i="82"/>
  <c r="M48" i="63"/>
  <c r="U48" i="63"/>
  <c r="U53" i="63" s="1"/>
  <c r="F48" i="69"/>
  <c r="F53" i="69" s="1"/>
  <c r="M30" i="81"/>
  <c r="S48" i="63"/>
  <c r="S53" i="63" s="1"/>
  <c r="V21" i="68"/>
  <c r="V33" i="68" s="1"/>
  <c r="J24" i="68"/>
  <c r="J27" i="68" s="1"/>
  <c r="J47" i="68" s="1"/>
  <c r="J50" i="68" s="1"/>
  <c r="L34" i="68"/>
  <c r="R31" i="68"/>
  <c r="Q31" i="68" s="1"/>
  <c r="T48" i="63"/>
  <c r="T53" i="63" s="1"/>
  <c r="M24" i="68"/>
  <c r="O37" i="68"/>
  <c r="Q48" i="81"/>
  <c r="Q53" i="81" s="1"/>
  <c r="M41" i="82"/>
  <c r="N24" i="68"/>
  <c r="N31" i="68"/>
  <c r="M31" i="68" s="1"/>
  <c r="D48" i="69"/>
  <c r="D53" i="69" s="1"/>
  <c r="I30" i="81"/>
  <c r="Q50" i="82"/>
  <c r="M24" i="65"/>
  <c r="M25" i="65" s="1"/>
  <c r="U24" i="65"/>
  <c r="U27" i="65" s="1"/>
  <c r="U47" i="65" s="1"/>
  <c r="R21" i="68"/>
  <c r="Q24" i="68"/>
  <c r="I32" i="69"/>
  <c r="E48" i="69"/>
  <c r="E53" i="69" s="1"/>
  <c r="O37" i="82"/>
  <c r="U51" i="82"/>
  <c r="J48" i="42"/>
  <c r="J53" i="42" s="1"/>
  <c r="H48" i="42"/>
  <c r="H53" i="42" s="1"/>
  <c r="I48" i="42"/>
  <c r="I53" i="42" s="1"/>
  <c r="U21" i="68"/>
  <c r="U33" i="68"/>
  <c r="I37" i="68"/>
  <c r="M48" i="121"/>
  <c r="M53" i="121" s="1"/>
  <c r="O17" i="68"/>
  <c r="R50" i="82"/>
  <c r="T48" i="42"/>
  <c r="T53" i="42" s="1"/>
  <c r="P24" i="65"/>
  <c r="L46" i="68"/>
  <c r="I13" i="68"/>
  <c r="R17" i="68"/>
  <c r="N27" i="68"/>
  <c r="N47" i="68" s="1"/>
  <c r="N50" i="68" s="1"/>
  <c r="Q35" i="68"/>
  <c r="B17" i="69"/>
  <c r="M24" i="81"/>
  <c r="M31" i="81"/>
  <c r="K37" i="81"/>
  <c r="I36" i="81"/>
  <c r="I37" i="81" s="1"/>
  <c r="R48" i="81"/>
  <c r="R53" i="81" s="1"/>
  <c r="L29" i="82"/>
  <c r="L34" i="82" s="1"/>
  <c r="K24" i="82"/>
  <c r="K25" i="82" s="1"/>
  <c r="J24" i="82"/>
  <c r="J25" i="82" s="1"/>
  <c r="I24" i="82"/>
  <c r="I25" i="82" s="1"/>
  <c r="U24" i="82"/>
  <c r="U25" i="82" s="1"/>
  <c r="W37" i="82"/>
  <c r="M37" i="82"/>
  <c r="S50" i="82"/>
  <c r="O48" i="121"/>
  <c r="M27" i="68"/>
  <c r="M47" i="68" s="1"/>
  <c r="M50" i="68" s="1"/>
  <c r="O48" i="63"/>
  <c r="O53" i="63" s="1"/>
  <c r="Q24" i="65"/>
  <c r="M29" i="65"/>
  <c r="M34" i="65" s="1"/>
  <c r="S17" i="68"/>
  <c r="Q27" i="68"/>
  <c r="Q47" i="68" s="1"/>
  <c r="Q50" i="68" s="1"/>
  <c r="O34" i="68"/>
  <c r="R37" i="68"/>
  <c r="H48" i="69"/>
  <c r="H53" i="69" s="1"/>
  <c r="B51" i="69"/>
  <c r="O37" i="81"/>
  <c r="O48" i="81" s="1"/>
  <c r="O53" i="81" s="1"/>
  <c r="M36" i="81"/>
  <c r="M37" i="81" s="1"/>
  <c r="S48" i="81"/>
  <c r="S53" i="81" s="1"/>
  <c r="T50" i="82"/>
  <c r="E32" i="69"/>
  <c r="K21" i="68"/>
  <c r="K33" i="68" s="1"/>
  <c r="I16" i="68"/>
  <c r="U17" i="68"/>
  <c r="R24" i="68"/>
  <c r="R27" i="68" s="1"/>
  <c r="R47" i="68" s="1"/>
  <c r="R50" i="68" s="1"/>
  <c r="P34" i="68"/>
  <c r="I48" i="69"/>
  <c r="I53" i="69" s="1"/>
  <c r="L37" i="82"/>
  <c r="Q51" i="82"/>
  <c r="U50" i="82"/>
  <c r="O37" i="42"/>
  <c r="N24" i="63"/>
  <c r="N25" i="63" s="1"/>
  <c r="Q48" i="63"/>
  <c r="Q53" i="63" s="1"/>
  <c r="R24" i="65"/>
  <c r="R27" i="65" s="1"/>
  <c r="R47" i="65" s="1"/>
  <c r="R52" i="65" s="1"/>
  <c r="U29" i="65"/>
  <c r="U34" i="65" s="1"/>
  <c r="L27" i="68"/>
  <c r="L47" i="68" s="1"/>
  <c r="L51" i="68" s="1"/>
  <c r="U37" i="68"/>
  <c r="B48" i="69"/>
  <c r="B53" i="69" s="1"/>
  <c r="J48" i="69"/>
  <c r="O34" i="82"/>
  <c r="M55" i="42"/>
  <c r="H53" i="118"/>
  <c r="R33" i="68"/>
  <c r="M53" i="63"/>
  <c r="N24" i="65"/>
  <c r="P50" i="63"/>
  <c r="P48" i="63"/>
  <c r="R48" i="63"/>
  <c r="R53" i="63" s="1"/>
  <c r="L24" i="65"/>
  <c r="K24" i="65"/>
  <c r="J24" i="65"/>
  <c r="I24" i="65"/>
  <c r="T24" i="65"/>
  <c r="T27" i="65" s="1"/>
  <c r="T47" i="65" s="1"/>
  <c r="Q20" i="68"/>
  <c r="P50" i="68"/>
  <c r="S34" i="68"/>
  <c r="Q30" i="68"/>
  <c r="V37" i="68"/>
  <c r="J29" i="81"/>
  <c r="I24" i="81"/>
  <c r="G24" i="81"/>
  <c r="H24" i="81"/>
  <c r="Q24" i="81"/>
  <c r="Q27" i="81" s="1"/>
  <c r="Q47" i="81" s="1"/>
  <c r="Q50" i="81" s="1"/>
  <c r="O50" i="82"/>
  <c r="I48" i="63"/>
  <c r="I53" i="63" s="1"/>
  <c r="J48" i="63"/>
  <c r="J53" i="63" s="1"/>
  <c r="I53" i="128"/>
  <c r="H48" i="128"/>
  <c r="I24" i="121"/>
  <c r="J24" i="121"/>
  <c r="K24" i="121"/>
  <c r="K27" i="121" s="1"/>
  <c r="K47" i="121" s="1"/>
  <c r="L24" i="121"/>
  <c r="L27" i="121" s="1"/>
  <c r="L47" i="121" s="1"/>
  <c r="L50" i="121" s="1"/>
  <c r="L22" i="47"/>
  <c r="K22" i="47" s="1"/>
  <c r="K16" i="47"/>
  <c r="K17" i="47" s="1"/>
  <c r="O32" i="47"/>
  <c r="J48" i="47"/>
  <c r="J53" i="47" s="1"/>
  <c r="K48" i="47"/>
  <c r="K53" i="47" s="1"/>
  <c r="N46" i="47"/>
  <c r="K13" i="47"/>
  <c r="L48" i="63"/>
  <c r="L53" i="63" s="1"/>
  <c r="N48" i="63"/>
  <c r="N53" i="63" s="1"/>
  <c r="K48" i="63"/>
  <c r="K53" i="63" s="1"/>
  <c r="L37" i="121"/>
  <c r="I48" i="121" s="1"/>
  <c r="I53" i="121" s="1"/>
  <c r="M34" i="82"/>
  <c r="L24" i="63"/>
  <c r="L25" i="63" s="1"/>
  <c r="K24" i="63"/>
  <c r="Q17" i="47"/>
  <c r="O37" i="47"/>
  <c r="O48" i="47" s="1"/>
  <c r="O53" i="47" s="1"/>
  <c r="O16" i="47"/>
  <c r="O17" i="47" s="1"/>
  <c r="Q48" i="47"/>
  <c r="Q53" i="47" s="1"/>
  <c r="M17" i="47"/>
  <c r="S32" i="47"/>
  <c r="R48" i="47"/>
  <c r="R53" i="47" s="1"/>
  <c r="L46" i="47"/>
  <c r="P48" i="47"/>
  <c r="P53" i="47" s="1"/>
  <c r="P48" i="65"/>
  <c r="P53" i="65" s="1"/>
  <c r="U48" i="65"/>
  <c r="U53" i="65" s="1"/>
  <c r="R48" i="65"/>
  <c r="R53" i="65" s="1"/>
  <c r="S48" i="65"/>
  <c r="S53" i="65" s="1"/>
  <c r="O48" i="65"/>
  <c r="O53" i="65" s="1"/>
  <c r="L48" i="65"/>
  <c r="L53" i="65" s="1"/>
  <c r="K48" i="65"/>
  <c r="K53" i="65" s="1"/>
  <c r="O25" i="114"/>
  <c r="O27" i="114" s="1"/>
  <c r="O47" i="114" s="1"/>
  <c r="P50" i="114"/>
  <c r="P52" i="114"/>
  <c r="P51" i="114"/>
  <c r="M27" i="114"/>
  <c r="M47" i="114" s="1"/>
  <c r="M50" i="112"/>
  <c r="M52" i="112"/>
  <c r="M51" i="112"/>
  <c r="J50" i="112"/>
  <c r="J51" i="112"/>
  <c r="J52" i="112"/>
  <c r="L50" i="112"/>
  <c r="L51" i="112"/>
  <c r="L52" i="112"/>
  <c r="K50" i="112"/>
  <c r="K51" i="112"/>
  <c r="K52" i="112"/>
  <c r="I25" i="112"/>
  <c r="H25" i="112" s="1"/>
  <c r="H27" i="112" s="1"/>
  <c r="H47" i="112" s="1"/>
  <c r="G50" i="112"/>
  <c r="G52" i="112"/>
  <c r="G51" i="112"/>
  <c r="Q48" i="42"/>
  <c r="Q53" i="42" s="1"/>
  <c r="M50" i="42"/>
  <c r="K48" i="42"/>
  <c r="K53" i="42" s="1"/>
  <c r="O48" i="42"/>
  <c r="O53" i="42" s="1"/>
  <c r="N48" i="42"/>
  <c r="N53" i="42" s="1"/>
  <c r="S48" i="42"/>
  <c r="S53" i="42" s="1"/>
  <c r="R48" i="42"/>
  <c r="R53" i="42" s="1"/>
  <c r="T51" i="42"/>
  <c r="T52" i="42"/>
  <c r="T50" i="42"/>
  <c r="S22" i="42"/>
  <c r="S17" i="42"/>
  <c r="L48" i="42"/>
  <c r="L53" i="42" s="1"/>
  <c r="L51" i="42"/>
  <c r="L55" i="42"/>
  <c r="L52" i="42"/>
  <c r="P48" i="42"/>
  <c r="P53" i="42" s="1"/>
  <c r="N52" i="42"/>
  <c r="N51" i="42"/>
  <c r="M51" i="42"/>
  <c r="M52" i="42"/>
  <c r="P46" i="42"/>
  <c r="P13" i="42"/>
  <c r="L13" i="42"/>
  <c r="O12" i="42"/>
  <c r="O17" i="42" s="1"/>
  <c r="K22" i="42"/>
  <c r="H24" i="42" s="1"/>
  <c r="H27" i="42" s="1"/>
  <c r="H47" i="42" s="1"/>
  <c r="K17" i="42"/>
  <c r="O21" i="42"/>
  <c r="M48" i="42"/>
  <c r="M53" i="42" s="1"/>
  <c r="L51" i="121"/>
  <c r="M24" i="121"/>
  <c r="M27" i="121" s="1"/>
  <c r="M47" i="121" s="1"/>
  <c r="M29" i="121"/>
  <c r="N48" i="121"/>
  <c r="N53" i="121" s="1"/>
  <c r="N24" i="121"/>
  <c r="N27" i="121" s="1"/>
  <c r="N47" i="121" s="1"/>
  <c r="N50" i="121" s="1"/>
  <c r="O24" i="121"/>
  <c r="O27" i="121" s="1"/>
  <c r="O47" i="121" s="1"/>
  <c r="U34" i="82"/>
  <c r="T37" i="82"/>
  <c r="T52" i="82"/>
  <c r="T51" i="82"/>
  <c r="Q24" i="82"/>
  <c r="Q25" i="82" s="1"/>
  <c r="Q29" i="82"/>
  <c r="Q34" i="82" s="1"/>
  <c r="R29" i="82"/>
  <c r="R34" i="82" s="1"/>
  <c r="R24" i="82"/>
  <c r="R25" i="82" s="1"/>
  <c r="P37" i="82"/>
  <c r="P34" i="82"/>
  <c r="O52" i="82"/>
  <c r="O51" i="82"/>
  <c r="S52" i="82"/>
  <c r="S51" i="82"/>
  <c r="N24" i="82"/>
  <c r="Q37" i="82"/>
  <c r="U37" i="82"/>
  <c r="U48" i="82" s="1"/>
  <c r="U53" i="82" s="1"/>
  <c r="Q52" i="82"/>
  <c r="U52" i="82"/>
  <c r="O24" i="82"/>
  <c r="O25" i="82" s="1"/>
  <c r="S24" i="82"/>
  <c r="S25" i="82" s="1"/>
  <c r="N29" i="82"/>
  <c r="N34" i="82" s="1"/>
  <c r="V29" i="82"/>
  <c r="V34" i="82" s="1"/>
  <c r="S35" i="82"/>
  <c r="P51" i="82"/>
  <c r="R52" i="82"/>
  <c r="L24" i="82"/>
  <c r="P24" i="82"/>
  <c r="P25" i="82" s="1"/>
  <c r="T24" i="82"/>
  <c r="T25" i="82" s="1"/>
  <c r="S36" i="82"/>
  <c r="P50" i="82"/>
  <c r="M48" i="81"/>
  <c r="M53" i="81" s="1"/>
  <c r="M25" i="81"/>
  <c r="M27" i="81" s="1"/>
  <c r="M47" i="81" s="1"/>
  <c r="Q52" i="81"/>
  <c r="L48" i="81"/>
  <c r="L53" i="81" s="1"/>
  <c r="J24" i="81"/>
  <c r="N24" i="81"/>
  <c r="N27" i="81" s="1"/>
  <c r="N47" i="81" s="1"/>
  <c r="R24" i="81"/>
  <c r="R27" i="81" s="1"/>
  <c r="R47" i="81" s="1"/>
  <c r="N29" i="81"/>
  <c r="R29" i="81"/>
  <c r="K24" i="81"/>
  <c r="O24" i="81"/>
  <c r="O27" i="81" s="1"/>
  <c r="O47" i="81" s="1"/>
  <c r="S24" i="81"/>
  <c r="S27" i="81" s="1"/>
  <c r="S47" i="81" s="1"/>
  <c r="L24" i="81"/>
  <c r="P24" i="81"/>
  <c r="P27" i="81" s="1"/>
  <c r="P47" i="81" s="1"/>
  <c r="E24" i="69"/>
  <c r="E27" i="69" s="1"/>
  <c r="E47" i="69" s="1"/>
  <c r="I24" i="69"/>
  <c r="I27" i="69" s="1"/>
  <c r="I47" i="69" s="1"/>
  <c r="C48" i="69"/>
  <c r="C53" i="69" s="1"/>
  <c r="G48" i="69"/>
  <c r="G53" i="69" s="1"/>
  <c r="D24" i="69"/>
  <c r="D27" i="69" s="1"/>
  <c r="D47" i="69" s="1"/>
  <c r="H24" i="69"/>
  <c r="H27" i="69" s="1"/>
  <c r="H47" i="69" s="1"/>
  <c r="F24" i="69"/>
  <c r="F27" i="69" s="1"/>
  <c r="F47" i="69" s="1"/>
  <c r="C24" i="69"/>
  <c r="C27" i="69" s="1"/>
  <c r="C47" i="69" s="1"/>
  <c r="G24" i="69"/>
  <c r="G27" i="69" s="1"/>
  <c r="G47" i="69" s="1"/>
  <c r="N37" i="68"/>
  <c r="J52" i="68"/>
  <c r="J51" i="68"/>
  <c r="R52" i="68"/>
  <c r="M30" i="68"/>
  <c r="P51" i="68"/>
  <c r="P52" i="68"/>
  <c r="J37" i="68"/>
  <c r="J34" i="68"/>
  <c r="M52" i="68"/>
  <c r="M51" i="68"/>
  <c r="K37" i="68"/>
  <c r="S37" i="68"/>
  <c r="M46" i="68"/>
  <c r="Q46" i="68"/>
  <c r="M13" i="68"/>
  <c r="Q13" i="68"/>
  <c r="M16" i="68"/>
  <c r="Q16" i="68"/>
  <c r="L17" i="68"/>
  <c r="P17" i="68"/>
  <c r="T17" i="68"/>
  <c r="K24" i="68"/>
  <c r="K27" i="68" s="1"/>
  <c r="K47" i="68" s="1"/>
  <c r="K50" i="68" s="1"/>
  <c r="O24" i="68"/>
  <c r="O27" i="68" s="1"/>
  <c r="O47" i="68" s="1"/>
  <c r="O50" i="68" s="1"/>
  <c r="S24" i="68"/>
  <c r="S27" i="68" s="1"/>
  <c r="S47" i="68" s="1"/>
  <c r="S50" i="68" s="1"/>
  <c r="M29" i="68"/>
  <c r="Q29" i="68"/>
  <c r="N32" i="68"/>
  <c r="R32" i="68"/>
  <c r="Q32" i="68" s="1"/>
  <c r="U34" i="68"/>
  <c r="M35" i="68"/>
  <c r="J46" i="68"/>
  <c r="N46" i="68"/>
  <c r="R46" i="68"/>
  <c r="R51" i="68"/>
  <c r="V34" i="68"/>
  <c r="Q36" i="68"/>
  <c r="Q37" i="68" s="1"/>
  <c r="K46" i="68"/>
  <c r="O46" i="68"/>
  <c r="K34" i="68"/>
  <c r="N25" i="65"/>
  <c r="N27" i="65" s="1"/>
  <c r="N47" i="65" s="1"/>
  <c r="T55" i="65"/>
  <c r="T52" i="65"/>
  <c r="T50" i="65"/>
  <c r="T51" i="65"/>
  <c r="M27" i="65"/>
  <c r="M47" i="65" s="1"/>
  <c r="Q25" i="65"/>
  <c r="Q27" i="65" s="1"/>
  <c r="Q47" i="65" s="1"/>
  <c r="U51" i="65"/>
  <c r="U55" i="65"/>
  <c r="U52" i="65"/>
  <c r="U50" i="65"/>
  <c r="R51" i="65"/>
  <c r="R55" i="65"/>
  <c r="R50" i="65"/>
  <c r="L25" i="65"/>
  <c r="L27" i="65" s="1"/>
  <c r="L47" i="65" s="1"/>
  <c r="P25" i="65"/>
  <c r="P27" i="65" s="1"/>
  <c r="P47" i="65" s="1"/>
  <c r="O29" i="65"/>
  <c r="O34" i="65" s="1"/>
  <c r="S29" i="65"/>
  <c r="S34" i="65" s="1"/>
  <c r="L29" i="65"/>
  <c r="L34" i="65" s="1"/>
  <c r="P29" i="65"/>
  <c r="P34" i="65" s="1"/>
  <c r="T29" i="65"/>
  <c r="T34" i="65" s="1"/>
  <c r="T48" i="65"/>
  <c r="T53" i="65" s="1"/>
  <c r="O24" i="65"/>
  <c r="M48" i="65"/>
  <c r="M53" i="65" s="1"/>
  <c r="Q48" i="65"/>
  <c r="Q53" i="65" s="1"/>
  <c r="S24" i="65"/>
  <c r="S27" i="65" s="1"/>
  <c r="S47" i="65" s="1"/>
  <c r="T52" i="63"/>
  <c r="T50" i="63"/>
  <c r="T51" i="63"/>
  <c r="P53" i="63"/>
  <c r="U51" i="63"/>
  <c r="U52" i="63"/>
  <c r="U50" i="63"/>
  <c r="P52" i="63"/>
  <c r="P51" i="63"/>
  <c r="Q51" i="63"/>
  <c r="Q52" i="63"/>
  <c r="Q50" i="63"/>
  <c r="R51" i="63"/>
  <c r="R52" i="63"/>
  <c r="R50" i="63"/>
  <c r="S52" i="63"/>
  <c r="S50" i="63"/>
  <c r="S51" i="63"/>
  <c r="M24" i="63"/>
  <c r="M25" i="63" s="1"/>
  <c r="L29" i="63"/>
  <c r="P29" i="63"/>
  <c r="O24" i="63"/>
  <c r="O27" i="63" s="1"/>
  <c r="O47" i="63" s="1"/>
  <c r="O50" i="63" s="1"/>
  <c r="L29" i="47"/>
  <c r="R51" i="47"/>
  <c r="R55" i="47"/>
  <c r="R52" i="47"/>
  <c r="R50" i="47"/>
  <c r="Q51" i="47"/>
  <c r="Q55" i="47"/>
  <c r="Q52" i="47"/>
  <c r="Q50" i="47"/>
  <c r="P24" i="47"/>
  <c r="P27" i="47" s="1"/>
  <c r="P47" i="47" s="1"/>
  <c r="P29" i="47"/>
  <c r="O22" i="47"/>
  <c r="S55" i="47"/>
  <c r="S52" i="47"/>
  <c r="S50" i="47"/>
  <c r="S51" i="47"/>
  <c r="O13" i="47"/>
  <c r="L17" i="47"/>
  <c r="P17" i="47"/>
  <c r="O46" i="47"/>
  <c r="S48" i="47"/>
  <c r="S53" i="47" s="1"/>
  <c r="M46" i="47"/>
  <c r="U55" i="108"/>
  <c r="T55" i="108"/>
  <c r="S55" i="108"/>
  <c r="R55" i="108"/>
  <c r="Q55" i="108"/>
  <c r="P55" i="108"/>
  <c r="O55" i="108"/>
  <c r="N50" i="108"/>
  <c r="L50" i="108"/>
  <c r="R46" i="108"/>
  <c r="Q46" i="108"/>
  <c r="P46" i="108"/>
  <c r="O46" i="108"/>
  <c r="N46" i="108"/>
  <c r="N41" i="108"/>
  <c r="N51" i="108" s="1"/>
  <c r="M41" i="108"/>
  <c r="L41" i="108"/>
  <c r="L55" i="108" s="1"/>
  <c r="M37" i="108"/>
  <c r="L37" i="108"/>
  <c r="M32" i="108"/>
  <c r="L32" i="108"/>
  <c r="M30" i="108"/>
  <c r="U22" i="108"/>
  <c r="T22" i="108"/>
  <c r="S22" i="108"/>
  <c r="R22" i="108"/>
  <c r="Q22" i="108"/>
  <c r="P22" i="108"/>
  <c r="O22" i="108"/>
  <c r="N22" i="108"/>
  <c r="L21" i="108"/>
  <c r="L22" i="108" s="1"/>
  <c r="U17" i="108"/>
  <c r="T17" i="108"/>
  <c r="S17" i="108"/>
  <c r="R17" i="108"/>
  <c r="Q17" i="108"/>
  <c r="P17" i="108"/>
  <c r="O17" i="108"/>
  <c r="N17" i="108"/>
  <c r="L17" i="108"/>
  <c r="Q13" i="108"/>
  <c r="P13" i="108"/>
  <c r="O13" i="108"/>
  <c r="N13" i="108"/>
  <c r="L13" i="108"/>
  <c r="O10" i="108"/>
  <c r="P10" i="108" s="1"/>
  <c r="Q10" i="108" s="1"/>
  <c r="R10" i="108" s="1"/>
  <c r="S10" i="108" s="1"/>
  <c r="T10" i="108" s="1"/>
  <c r="U10" i="108" s="1"/>
  <c r="O50" i="102"/>
  <c r="O41" i="102"/>
  <c r="O55" i="102" s="1"/>
  <c r="N41" i="102"/>
  <c r="M40" i="102"/>
  <c r="M41" i="102" s="1"/>
  <c r="L40" i="102"/>
  <c r="L41" i="102" s="1"/>
  <c r="P37" i="102"/>
  <c r="L37" i="102"/>
  <c r="Q36" i="102"/>
  <c r="M36" i="102"/>
  <c r="R32" i="102"/>
  <c r="Q32" i="102"/>
  <c r="P32" i="102"/>
  <c r="O26" i="102"/>
  <c r="O27" i="102" s="1"/>
  <c r="Q19" i="102"/>
  <c r="P19" i="102" s="1"/>
  <c r="O19" i="102" s="1"/>
  <c r="N17" i="102"/>
  <c r="R16" i="102"/>
  <c r="R22" i="102" s="1"/>
  <c r="R29" i="102" s="1"/>
  <c r="N22" i="102"/>
  <c r="J24" i="102" s="1"/>
  <c r="M29" i="102"/>
  <c r="N13" i="102"/>
  <c r="M13" i="102"/>
  <c r="L13" i="102"/>
  <c r="P10" i="102"/>
  <c r="Q10" i="102" s="1"/>
  <c r="R10" i="102" s="1"/>
  <c r="J48" i="81" l="1"/>
  <c r="J53" i="81" s="1"/>
  <c r="N34" i="68"/>
  <c r="Q51" i="81"/>
  <c r="M48" i="82"/>
  <c r="M53" i="82" s="1"/>
  <c r="N27" i="63"/>
  <c r="N47" i="63" s="1"/>
  <c r="N52" i="121"/>
  <c r="H53" i="128"/>
  <c r="G48" i="128"/>
  <c r="G53" i="118"/>
  <c r="J25" i="121"/>
  <c r="J27" i="121" s="1"/>
  <c r="J47" i="121" s="1"/>
  <c r="I25" i="121"/>
  <c r="I27" i="121" s="1"/>
  <c r="I47" i="121" s="1"/>
  <c r="Q16" i="102"/>
  <c r="Q22" i="102" s="1"/>
  <c r="Q29" i="102" s="1"/>
  <c r="T48" i="82"/>
  <c r="T53" i="82" s="1"/>
  <c r="M37" i="102"/>
  <c r="K36" i="102"/>
  <c r="K37" i="102" s="1"/>
  <c r="S48" i="68"/>
  <c r="S53" i="68" s="1"/>
  <c r="L50" i="68"/>
  <c r="N48" i="47"/>
  <c r="N53" i="47" s="1"/>
  <c r="F48" i="81"/>
  <c r="F53" i="81" s="1"/>
  <c r="H48" i="81"/>
  <c r="H53" i="81" s="1"/>
  <c r="G48" i="81"/>
  <c r="G53" i="81" s="1"/>
  <c r="K25" i="65"/>
  <c r="K27" i="65" s="1"/>
  <c r="K47" i="65" s="1"/>
  <c r="L52" i="68"/>
  <c r="K48" i="81"/>
  <c r="K53" i="81" s="1"/>
  <c r="N53" i="108"/>
  <c r="O51" i="63"/>
  <c r="Q51" i="68"/>
  <c r="N51" i="68"/>
  <c r="Q52" i="68"/>
  <c r="S51" i="68"/>
  <c r="N52" i="68"/>
  <c r="I27" i="112"/>
  <c r="I47" i="112" s="1"/>
  <c r="H25" i="81"/>
  <c r="H27" i="81" s="1"/>
  <c r="H47" i="81" s="1"/>
  <c r="J25" i="65"/>
  <c r="J27" i="65" s="1"/>
  <c r="J47" i="65" s="1"/>
  <c r="G48" i="68"/>
  <c r="G53" i="68" s="1"/>
  <c r="F48" i="68"/>
  <c r="F53" i="68" s="1"/>
  <c r="H48" i="68"/>
  <c r="H53" i="68" s="1"/>
  <c r="I48" i="68"/>
  <c r="I53" i="68" s="1"/>
  <c r="Q37" i="102"/>
  <c r="K24" i="108"/>
  <c r="I24" i="108"/>
  <c r="J24" i="108"/>
  <c r="P24" i="108"/>
  <c r="P27" i="108" s="1"/>
  <c r="P47" i="108" s="1"/>
  <c r="L52" i="121"/>
  <c r="G25" i="81"/>
  <c r="G27" i="81" s="1"/>
  <c r="G47" i="81" s="1"/>
  <c r="E16" i="68"/>
  <c r="I21" i="68"/>
  <c r="I33" i="68" s="1"/>
  <c r="I34" i="68" s="1"/>
  <c r="I17" i="68"/>
  <c r="L48" i="82"/>
  <c r="L53" i="82" s="1"/>
  <c r="K48" i="82"/>
  <c r="K53" i="82" s="1"/>
  <c r="J48" i="82"/>
  <c r="J53" i="82" s="1"/>
  <c r="R17" i="102"/>
  <c r="L51" i="108"/>
  <c r="O32" i="102"/>
  <c r="Q24" i="108"/>
  <c r="Q27" i="108" s="1"/>
  <c r="Q47" i="108" s="1"/>
  <c r="M47" i="108"/>
  <c r="S52" i="68"/>
  <c r="H52" i="42"/>
  <c r="H50" i="42"/>
  <c r="H51" i="42"/>
  <c r="H55" i="42"/>
  <c r="I48" i="81"/>
  <c r="I53" i="81" s="1"/>
  <c r="I25" i="81"/>
  <c r="I27" i="81" s="1"/>
  <c r="I47" i="81" s="1"/>
  <c r="I25" i="65"/>
  <c r="I27" i="65"/>
  <c r="I47" i="65" s="1"/>
  <c r="N48" i="81"/>
  <c r="N53" i="81" s="1"/>
  <c r="H24" i="47"/>
  <c r="I24" i="47"/>
  <c r="J48" i="121"/>
  <c r="J53" i="121" s="1"/>
  <c r="K50" i="121"/>
  <c r="K51" i="121"/>
  <c r="K52" i="121"/>
  <c r="M48" i="47"/>
  <c r="M53" i="47" s="1"/>
  <c r="L48" i="47"/>
  <c r="L53" i="47" s="1"/>
  <c r="J24" i="47"/>
  <c r="J26" i="47" s="1"/>
  <c r="J27" i="47" s="1"/>
  <c r="J47" i="47" s="1"/>
  <c r="K24" i="47"/>
  <c r="K26" i="47" s="1"/>
  <c r="K27" i="47" s="1"/>
  <c r="K47" i="47" s="1"/>
  <c r="K21" i="47"/>
  <c r="K29" i="47"/>
  <c r="K48" i="121"/>
  <c r="K53" i="121" s="1"/>
  <c r="L48" i="121"/>
  <c r="L53" i="121" s="1"/>
  <c r="J27" i="102"/>
  <c r="I24" i="102"/>
  <c r="I27" i="102" s="1"/>
  <c r="I24" i="42"/>
  <c r="I27" i="42" s="1"/>
  <c r="I47" i="42" s="1"/>
  <c r="J24" i="42"/>
  <c r="J27" i="42" s="1"/>
  <c r="J47" i="42" s="1"/>
  <c r="N50" i="63"/>
  <c r="N51" i="63"/>
  <c r="N52" i="63"/>
  <c r="L27" i="63"/>
  <c r="L47" i="63" s="1"/>
  <c r="K25" i="63"/>
  <c r="K27" i="63" s="1"/>
  <c r="K47" i="63" s="1"/>
  <c r="O50" i="114"/>
  <c r="O55" i="114"/>
  <c r="O51" i="114"/>
  <c r="O52" i="114"/>
  <c r="M50" i="114"/>
  <c r="M51" i="114"/>
  <c r="M55" i="114"/>
  <c r="M52" i="114"/>
  <c r="I50" i="112"/>
  <c r="I52" i="112"/>
  <c r="I51" i="112"/>
  <c r="H50" i="112"/>
  <c r="H51" i="112"/>
  <c r="H52" i="112"/>
  <c r="M46" i="42"/>
  <c r="L46" i="42"/>
  <c r="O46" i="42"/>
  <c r="N46" i="42"/>
  <c r="O13" i="42"/>
  <c r="K13" i="42"/>
  <c r="Q24" i="42"/>
  <c r="Q27" i="42" s="1"/>
  <c r="Q47" i="42" s="1"/>
  <c r="P24" i="42"/>
  <c r="P27" i="42" s="1"/>
  <c r="P47" i="42" s="1"/>
  <c r="S29" i="42"/>
  <c r="S24" i="42"/>
  <c r="S27" i="42" s="1"/>
  <c r="S47" i="42" s="1"/>
  <c r="R24" i="42"/>
  <c r="R27" i="42" s="1"/>
  <c r="R47" i="42" s="1"/>
  <c r="K29" i="42"/>
  <c r="K24" i="42"/>
  <c r="K27" i="42" s="1"/>
  <c r="K47" i="42" s="1"/>
  <c r="M50" i="121"/>
  <c r="M52" i="121"/>
  <c r="N51" i="121"/>
  <c r="M51" i="121"/>
  <c r="S37" i="82"/>
  <c r="Q48" i="82" s="1"/>
  <c r="Q53" i="82" s="1"/>
  <c r="N48" i="82"/>
  <c r="N53" i="82" s="1"/>
  <c r="O48" i="82"/>
  <c r="O53" i="82" s="1"/>
  <c r="L25" i="81"/>
  <c r="L27" i="81" s="1"/>
  <c r="L47" i="81" s="1"/>
  <c r="J25" i="81"/>
  <c r="J27" i="81" s="1"/>
  <c r="J47" i="81" s="1"/>
  <c r="M52" i="81"/>
  <c r="M50" i="81"/>
  <c r="M51" i="81"/>
  <c r="S51" i="81"/>
  <c r="S52" i="81"/>
  <c r="S50" i="81"/>
  <c r="R52" i="81"/>
  <c r="R50" i="81"/>
  <c r="R51" i="81"/>
  <c r="O51" i="81"/>
  <c r="O52" i="81"/>
  <c r="O50" i="81"/>
  <c r="P51" i="81"/>
  <c r="P52" i="81"/>
  <c r="P50" i="81"/>
  <c r="K25" i="81"/>
  <c r="K27" i="81" s="1"/>
  <c r="K47" i="81" s="1"/>
  <c r="N52" i="81"/>
  <c r="N50" i="81"/>
  <c r="N51" i="81"/>
  <c r="B46" i="69"/>
  <c r="C52" i="69"/>
  <c r="C51" i="69"/>
  <c r="C50" i="69"/>
  <c r="H52" i="69"/>
  <c r="H51" i="69"/>
  <c r="H50" i="69"/>
  <c r="I52" i="69"/>
  <c r="I51" i="69"/>
  <c r="I50" i="69"/>
  <c r="F52" i="69"/>
  <c r="F51" i="69"/>
  <c r="F50" i="69"/>
  <c r="G52" i="69"/>
  <c r="G51" i="69"/>
  <c r="G50" i="69"/>
  <c r="D52" i="69"/>
  <c r="D51" i="69"/>
  <c r="D50" i="69"/>
  <c r="E52" i="69"/>
  <c r="E51" i="69"/>
  <c r="E50" i="69"/>
  <c r="P48" i="68"/>
  <c r="P53" i="68" s="1"/>
  <c r="Q48" i="68"/>
  <c r="Q53" i="68" s="1"/>
  <c r="O48" i="68"/>
  <c r="O53" i="68" s="1"/>
  <c r="M37" i="68"/>
  <c r="J48" i="68" s="1"/>
  <c r="J53" i="68" s="1"/>
  <c r="M32" i="68"/>
  <c r="K51" i="68"/>
  <c r="Q21" i="68"/>
  <c r="Q33" i="68" s="1"/>
  <c r="Q34" i="68" s="1"/>
  <c r="Q17" i="68"/>
  <c r="M21" i="68"/>
  <c r="M33" i="68" s="1"/>
  <c r="M17" i="68"/>
  <c r="R48" i="68"/>
  <c r="R53" i="68" s="1"/>
  <c r="O52" i="68"/>
  <c r="N48" i="68"/>
  <c r="N53" i="68" s="1"/>
  <c r="K52" i="68"/>
  <c r="R34" i="68"/>
  <c r="O51" i="68"/>
  <c r="Q51" i="65"/>
  <c r="Q55" i="65"/>
  <c r="Q52" i="65"/>
  <c r="Q50" i="65"/>
  <c r="M51" i="65"/>
  <c r="M55" i="65"/>
  <c r="M52" i="65"/>
  <c r="M50" i="65"/>
  <c r="P50" i="65"/>
  <c r="P55" i="65"/>
  <c r="P52" i="65"/>
  <c r="P51" i="65"/>
  <c r="L50" i="65"/>
  <c r="L51" i="65"/>
  <c r="L55" i="65"/>
  <c r="L52" i="65"/>
  <c r="O25" i="65"/>
  <c r="O27" i="65" s="1"/>
  <c r="O47" i="65" s="1"/>
  <c r="N51" i="65"/>
  <c r="N55" i="65"/>
  <c r="N52" i="65"/>
  <c r="N50" i="65"/>
  <c r="S55" i="65"/>
  <c r="S52" i="65"/>
  <c r="S50" i="65"/>
  <c r="S51" i="65"/>
  <c r="M27" i="63"/>
  <c r="M47" i="63" s="1"/>
  <c r="O52" i="63"/>
  <c r="O29" i="47"/>
  <c r="O21" i="47"/>
  <c r="O24" i="47"/>
  <c r="M24" i="47"/>
  <c r="N24" i="47"/>
  <c r="L24" i="47"/>
  <c r="P55" i="47"/>
  <c r="P52" i="47"/>
  <c r="P50" i="47"/>
  <c r="P51" i="47"/>
  <c r="L24" i="108"/>
  <c r="L27" i="108" s="1"/>
  <c r="L29" i="108"/>
  <c r="M50" i="108"/>
  <c r="M48" i="108"/>
  <c r="M55" i="108"/>
  <c r="N24" i="108"/>
  <c r="N27" i="108" s="1"/>
  <c r="R24" i="108"/>
  <c r="R27" i="108" s="1"/>
  <c r="R47" i="108" s="1"/>
  <c r="L46" i="108"/>
  <c r="L52" i="108"/>
  <c r="N55" i="108"/>
  <c r="O24" i="108"/>
  <c r="O27" i="108" s="1"/>
  <c r="O47" i="108" s="1"/>
  <c r="M46" i="108"/>
  <c r="M51" i="108"/>
  <c r="N52" i="108"/>
  <c r="M29" i="108"/>
  <c r="M52" i="108"/>
  <c r="M24" i="108"/>
  <c r="M27" i="108" s="1"/>
  <c r="N29" i="102"/>
  <c r="R36" i="102"/>
  <c r="R37" i="102" s="1"/>
  <c r="P16" i="102"/>
  <c r="M17" i="102"/>
  <c r="Q17" i="102"/>
  <c r="N37" i="102"/>
  <c r="J48" i="102" s="1"/>
  <c r="I48" i="102" s="1"/>
  <c r="H48" i="102" s="1"/>
  <c r="O51" i="102"/>
  <c r="O52" i="102"/>
  <c r="O53" i="102"/>
  <c r="G53" i="128" l="1"/>
  <c r="F48" i="128"/>
  <c r="P48" i="82"/>
  <c r="P53" i="82" s="1"/>
  <c r="F53" i="118"/>
  <c r="J51" i="121"/>
  <c r="J52" i="121"/>
  <c r="J50" i="121"/>
  <c r="I50" i="121"/>
  <c r="I51" i="121"/>
  <c r="I52" i="121"/>
  <c r="O36" i="102"/>
  <c r="O37" i="102" s="1"/>
  <c r="J51" i="65"/>
  <c r="J52" i="65"/>
  <c r="J50" i="65"/>
  <c r="J55" i="65"/>
  <c r="G52" i="81"/>
  <c r="G50" i="81"/>
  <c r="G51" i="81"/>
  <c r="H50" i="81"/>
  <c r="H52" i="81"/>
  <c r="H51" i="81"/>
  <c r="H53" i="102"/>
  <c r="G48" i="102"/>
  <c r="K55" i="65"/>
  <c r="K52" i="65"/>
  <c r="K50" i="65"/>
  <c r="K51" i="65"/>
  <c r="I51" i="81"/>
  <c r="I52" i="81"/>
  <c r="I50" i="81"/>
  <c r="J25" i="108"/>
  <c r="J27" i="108" s="1"/>
  <c r="J47" i="108" s="1"/>
  <c r="I50" i="65"/>
  <c r="I55" i="65"/>
  <c r="I51" i="65"/>
  <c r="I52" i="65"/>
  <c r="M34" i="68"/>
  <c r="I25" i="108"/>
  <c r="I27" i="108" s="1"/>
  <c r="I47" i="108" s="1"/>
  <c r="E17" i="68"/>
  <c r="E21" i="68"/>
  <c r="E33" i="68" s="1"/>
  <c r="E34" i="68" s="1"/>
  <c r="K25" i="108"/>
  <c r="K27" i="108" s="1"/>
  <c r="K47" i="108" s="1"/>
  <c r="I26" i="47"/>
  <c r="I27" i="47" s="1"/>
  <c r="I47" i="47" s="1"/>
  <c r="H26" i="47"/>
  <c r="H27" i="47" s="1"/>
  <c r="H47" i="47" s="1"/>
  <c r="J50" i="47"/>
  <c r="J55" i="47"/>
  <c r="J52" i="47"/>
  <c r="J51" i="47"/>
  <c r="K52" i="47"/>
  <c r="K55" i="47"/>
  <c r="K51" i="47"/>
  <c r="K50" i="47"/>
  <c r="J50" i="42"/>
  <c r="J55" i="42"/>
  <c r="J52" i="42"/>
  <c r="J51" i="42"/>
  <c r="I50" i="42"/>
  <c r="I55" i="42"/>
  <c r="I51" i="42"/>
  <c r="I52" i="42"/>
  <c r="L50" i="63"/>
  <c r="L51" i="63"/>
  <c r="L52" i="63"/>
  <c r="K50" i="63"/>
  <c r="K52" i="63"/>
  <c r="K51" i="63"/>
  <c r="R51" i="42"/>
  <c r="R52" i="42"/>
  <c r="R50" i="42"/>
  <c r="Q50" i="42"/>
  <c r="Q51" i="42"/>
  <c r="Q52" i="42"/>
  <c r="P50" i="42"/>
  <c r="P51" i="42"/>
  <c r="P52" i="42"/>
  <c r="S50" i="42"/>
  <c r="S52" i="42"/>
  <c r="S51" i="42"/>
  <c r="K50" i="42"/>
  <c r="K55" i="42"/>
  <c r="K52" i="42"/>
  <c r="K51" i="42"/>
  <c r="S48" i="82"/>
  <c r="S53" i="82" s="1"/>
  <c r="R48" i="82"/>
  <c r="R53" i="82" s="1"/>
  <c r="L50" i="81"/>
  <c r="L52" i="81"/>
  <c r="L51" i="81"/>
  <c r="J50" i="81"/>
  <c r="J51" i="81"/>
  <c r="J52" i="81"/>
  <c r="K50" i="81"/>
  <c r="K52" i="81"/>
  <c r="K51" i="81"/>
  <c r="L48" i="68"/>
  <c r="L53" i="68" s="1"/>
  <c r="M48" i="68"/>
  <c r="M53" i="68" s="1"/>
  <c r="K48" i="68"/>
  <c r="K53" i="68" s="1"/>
  <c r="O55" i="65"/>
  <c r="O52" i="65"/>
  <c r="O50" i="65"/>
  <c r="O51" i="65"/>
  <c r="M50" i="63"/>
  <c r="M51" i="63"/>
  <c r="M52" i="63"/>
  <c r="M26" i="47"/>
  <c r="M27" i="47" s="1"/>
  <c r="M47" i="47" s="1"/>
  <c r="L26" i="47"/>
  <c r="L27" i="47" s="1"/>
  <c r="L47" i="47" s="1"/>
  <c r="O26" i="47"/>
  <c r="O27" i="47" s="1"/>
  <c r="O47" i="47" s="1"/>
  <c r="N26" i="47"/>
  <c r="N27" i="47" s="1"/>
  <c r="N47" i="47" s="1"/>
  <c r="M53" i="108"/>
  <c r="L48" i="108"/>
  <c r="P22" i="102"/>
  <c r="P29" i="102" s="1"/>
  <c r="P17" i="102"/>
  <c r="O16" i="102"/>
  <c r="L22" i="102"/>
  <c r="L17" i="102"/>
  <c r="G53" i="102" l="1"/>
  <c r="F48" i="102"/>
  <c r="F53" i="128"/>
  <c r="E48" i="128"/>
  <c r="D53" i="118"/>
  <c r="E53" i="118"/>
  <c r="K55" i="108"/>
  <c r="K50" i="108"/>
  <c r="K52" i="108"/>
  <c r="K51" i="108"/>
  <c r="J50" i="108"/>
  <c r="J55" i="108"/>
  <c r="J51" i="108"/>
  <c r="J52" i="108"/>
  <c r="I50" i="108"/>
  <c r="I51" i="108"/>
  <c r="I55" i="108"/>
  <c r="I52" i="108"/>
  <c r="H50" i="47"/>
  <c r="H55" i="47"/>
  <c r="H51" i="47"/>
  <c r="H52" i="47"/>
  <c r="I55" i="47"/>
  <c r="I51" i="47"/>
  <c r="I50" i="47"/>
  <c r="I52" i="47"/>
  <c r="H24" i="102"/>
  <c r="L29" i="102"/>
  <c r="L53" i="108"/>
  <c r="K48" i="108"/>
  <c r="M50" i="47"/>
  <c r="M55" i="47"/>
  <c r="M52" i="47"/>
  <c r="M51" i="47"/>
  <c r="N50" i="47"/>
  <c r="N52" i="47"/>
  <c r="N51" i="47"/>
  <c r="N55" i="47"/>
  <c r="L50" i="47"/>
  <c r="L55" i="47"/>
  <c r="L52" i="47"/>
  <c r="L51" i="47"/>
  <c r="O55" i="47"/>
  <c r="O52" i="47"/>
  <c r="O50" i="47"/>
  <c r="O51" i="47"/>
  <c r="O22" i="102"/>
  <c r="O29" i="102" s="1"/>
  <c r="O17" i="102"/>
  <c r="D48" i="128" l="1"/>
  <c r="D53" i="128" s="1"/>
  <c r="E53" i="128"/>
  <c r="E48" i="102"/>
  <c r="F53" i="102"/>
  <c r="H27" i="102"/>
  <c r="G25" i="102"/>
  <c r="G27" i="102" s="1"/>
  <c r="J48" i="108"/>
  <c r="K53" i="108"/>
  <c r="K51" i="102"/>
  <c r="K55" i="102"/>
  <c r="K52" i="102"/>
  <c r="K50" i="102"/>
  <c r="J47" i="102"/>
  <c r="I47" i="102" s="1"/>
  <c r="H47" i="102" s="1"/>
  <c r="H55" i="102" s="1"/>
  <c r="E53" i="102" l="1"/>
  <c r="D48" i="102"/>
  <c r="D53" i="102" s="1"/>
  <c r="G47" i="102"/>
  <c r="G52" i="102" s="1"/>
  <c r="F27" i="102"/>
  <c r="F47" i="102" s="1"/>
  <c r="H52" i="102"/>
  <c r="H50" i="102"/>
  <c r="H51" i="102"/>
  <c r="G51" i="102"/>
  <c r="G50" i="102"/>
  <c r="J53" i="108"/>
  <c r="I48" i="108"/>
  <c r="I52" i="102"/>
  <c r="I55" i="102"/>
  <c r="I50" i="102"/>
  <c r="I51" i="102"/>
  <c r="J55" i="102"/>
  <c r="J52" i="102"/>
  <c r="J50" i="102"/>
  <c r="J51" i="102"/>
  <c r="G55" i="102" l="1"/>
  <c r="F50" i="102"/>
  <c r="F52" i="102"/>
  <c r="F51" i="102"/>
  <c r="F55" i="102"/>
  <c r="I53" i="108"/>
  <c r="H48" i="108"/>
  <c r="J55" i="29"/>
  <c r="I55" i="29"/>
  <c r="H55" i="29"/>
  <c r="G55" i="29"/>
  <c r="F55" i="29"/>
  <c r="G47" i="29"/>
  <c r="E47" i="29"/>
  <c r="D42" i="29"/>
  <c r="C42" i="29" s="1"/>
  <c r="D41" i="29"/>
  <c r="I40" i="29"/>
  <c r="I41" i="29" s="1"/>
  <c r="G40" i="29"/>
  <c r="G41" i="29" s="1"/>
  <c r="F40" i="29"/>
  <c r="F41" i="29" s="1"/>
  <c r="E40" i="29"/>
  <c r="E41" i="29" s="1"/>
  <c r="D40" i="29"/>
  <c r="J37" i="29"/>
  <c r="F37" i="29"/>
  <c r="I36" i="29"/>
  <c r="H36" i="29" s="1"/>
  <c r="G36" i="29" s="1"/>
  <c r="E36" i="29"/>
  <c r="D36" i="29" s="1"/>
  <c r="C36" i="29" s="1"/>
  <c r="I35" i="29"/>
  <c r="H35" i="29" s="1"/>
  <c r="E35" i="29"/>
  <c r="D35" i="29"/>
  <c r="J32" i="29"/>
  <c r="I32" i="29" s="1"/>
  <c r="H32" i="29" s="1"/>
  <c r="G32" i="29" s="1"/>
  <c r="F32" i="29"/>
  <c r="E32" i="29"/>
  <c r="D32" i="29" s="1"/>
  <c r="C32" i="29" s="1"/>
  <c r="I31" i="29"/>
  <c r="H31" i="29" s="1"/>
  <c r="G31" i="29" s="1"/>
  <c r="E31" i="29"/>
  <c r="D31" i="29" s="1"/>
  <c r="C31" i="29" s="1"/>
  <c r="I30" i="29"/>
  <c r="H30" i="29"/>
  <c r="G30" i="29" s="1"/>
  <c r="E30" i="29"/>
  <c r="D30" i="29" s="1"/>
  <c r="C30" i="29" s="1"/>
  <c r="J16" i="29"/>
  <c r="J22" i="29" s="1"/>
  <c r="J29" i="29" s="1"/>
  <c r="F16" i="29"/>
  <c r="F22" i="29" s="1"/>
  <c r="E16" i="29"/>
  <c r="E17" i="29" s="1"/>
  <c r="F13" i="29"/>
  <c r="E13" i="29"/>
  <c r="D13" i="29"/>
  <c r="G12" i="29"/>
  <c r="F10" i="29"/>
  <c r="G10" i="29" s="1"/>
  <c r="H10" i="29" s="1"/>
  <c r="I10" i="29" s="1"/>
  <c r="J10" i="29" s="1"/>
  <c r="G50" i="29" l="1"/>
  <c r="F17" i="29"/>
  <c r="E46" i="29"/>
  <c r="C13" i="29"/>
  <c r="J17" i="29"/>
  <c r="B42" i="29"/>
  <c r="E37" i="29"/>
  <c r="D46" i="29"/>
  <c r="D37" i="29"/>
  <c r="C35" i="29"/>
  <c r="C37" i="29" s="1"/>
  <c r="F46" i="29"/>
  <c r="H53" i="108"/>
  <c r="G53" i="108"/>
  <c r="I16" i="29"/>
  <c r="I17" i="29" s="1"/>
  <c r="E50" i="29"/>
  <c r="K53" i="102"/>
  <c r="F29" i="29"/>
  <c r="G52" i="29"/>
  <c r="G51" i="29"/>
  <c r="G35" i="29"/>
  <c r="G37" i="29" s="1"/>
  <c r="H37" i="29"/>
  <c r="E55" i="29"/>
  <c r="E52" i="29"/>
  <c r="E51" i="29"/>
  <c r="I37" i="29"/>
  <c r="G46" i="29"/>
  <c r="E22" i="29"/>
  <c r="D16" i="29"/>
  <c r="C16" i="29" s="1"/>
  <c r="O46" i="15"/>
  <c r="N46" i="15"/>
  <c r="M46" i="15"/>
  <c r="O42" i="15"/>
  <c r="P41" i="15"/>
  <c r="P55" i="15" s="1"/>
  <c r="N41" i="15"/>
  <c r="N40" i="15" s="1"/>
  <c r="P40" i="15"/>
  <c r="P50" i="15" s="1"/>
  <c r="O40" i="15"/>
  <c r="M40" i="15"/>
  <c r="P37" i="15"/>
  <c r="O37" i="15"/>
  <c r="O32" i="15"/>
  <c r="N32" i="15" s="1"/>
  <c r="M32" i="15" s="1"/>
  <c r="L32" i="15" s="1"/>
  <c r="N31" i="15"/>
  <c r="M31" i="15" s="1"/>
  <c r="L31" i="15" s="1"/>
  <c r="N30" i="15"/>
  <c r="N37" i="15" s="1"/>
  <c r="R22" i="15"/>
  <c r="Q22" i="15"/>
  <c r="P22" i="15"/>
  <c r="P29" i="15" s="1"/>
  <c r="O22" i="15"/>
  <c r="N22" i="15"/>
  <c r="N29" i="15" s="1"/>
  <c r="R17" i="15"/>
  <c r="Q17" i="15"/>
  <c r="P17" i="15"/>
  <c r="O17" i="15"/>
  <c r="N17" i="15"/>
  <c r="M17" i="15"/>
  <c r="M22" i="15"/>
  <c r="N13" i="15"/>
  <c r="M13" i="15"/>
  <c r="Q10" i="15"/>
  <c r="R10" i="15" s="1"/>
  <c r="H16" i="29" l="1"/>
  <c r="G16" i="29" s="1"/>
  <c r="M30" i="15"/>
  <c r="L30" i="15" s="1"/>
  <c r="D48" i="29"/>
  <c r="D53" i="29" s="1"/>
  <c r="P53" i="15"/>
  <c r="C22" i="29"/>
  <c r="C29" i="29" s="1"/>
  <c r="C17" i="29"/>
  <c r="E48" i="29"/>
  <c r="E53" i="29" s="1"/>
  <c r="I22" i="29"/>
  <c r="I29" i="29" s="1"/>
  <c r="B48" i="29"/>
  <c r="B53" i="29" s="1"/>
  <c r="C48" i="29"/>
  <c r="C53" i="29" s="1"/>
  <c r="K24" i="15"/>
  <c r="K27" i="15" s="1"/>
  <c r="K47" i="15" s="1"/>
  <c r="J24" i="15"/>
  <c r="J27" i="15" s="1"/>
  <c r="J47" i="15" s="1"/>
  <c r="J53" i="102"/>
  <c r="I53" i="102"/>
  <c r="O29" i="15"/>
  <c r="O48" i="15"/>
  <c r="N48" i="15"/>
  <c r="L24" i="15"/>
  <c r="L27" i="15" s="1"/>
  <c r="L47" i="15" s="1"/>
  <c r="F48" i="29"/>
  <c r="F53" i="29" s="1"/>
  <c r="D17" i="29"/>
  <c r="D22" i="29"/>
  <c r="H17" i="29"/>
  <c r="H22" i="29"/>
  <c r="H29" i="29" s="1"/>
  <c r="E29" i="29"/>
  <c r="G48" i="29"/>
  <c r="G53" i="29" s="1"/>
  <c r="M29" i="15"/>
  <c r="M24" i="15"/>
  <c r="M27" i="15" s="1"/>
  <c r="M47" i="15" s="1"/>
  <c r="P24" i="15"/>
  <c r="P27" i="15" s="1"/>
  <c r="N24" i="15"/>
  <c r="N27" i="15" s="1"/>
  <c r="N47" i="15" s="1"/>
  <c r="N50" i="15" s="1"/>
  <c r="Q40" i="15"/>
  <c r="O24" i="15"/>
  <c r="O27" i="15" s="1"/>
  <c r="O47" i="15" s="1"/>
  <c r="P51" i="15"/>
  <c r="P52" i="15"/>
  <c r="X55" i="45"/>
  <c r="W55" i="45"/>
  <c r="V55" i="45"/>
  <c r="U55" i="45"/>
  <c r="M53" i="45"/>
  <c r="M47" i="45"/>
  <c r="M52" i="45" s="1"/>
  <c r="L46" i="45"/>
  <c r="L44" i="45"/>
  <c r="T42" i="45"/>
  <c r="S42" i="45"/>
  <c r="R42" i="45"/>
  <c r="Q42" i="45"/>
  <c r="P42" i="45"/>
  <c r="O42" i="45"/>
  <c r="N42" i="45"/>
  <c r="L42" i="45"/>
  <c r="K42" i="45" s="1"/>
  <c r="T41" i="45"/>
  <c r="S41" i="45"/>
  <c r="R41" i="45"/>
  <c r="Q41" i="45"/>
  <c r="L41" i="45"/>
  <c r="T40" i="45"/>
  <c r="S40" i="45"/>
  <c r="R40" i="45"/>
  <c r="Q40" i="45"/>
  <c r="P40" i="45"/>
  <c r="P41" i="45" s="1"/>
  <c r="O40" i="45"/>
  <c r="O41" i="45" s="1"/>
  <c r="N40" i="45"/>
  <c r="N41" i="45" s="1"/>
  <c r="L40" i="45"/>
  <c r="L39" i="45"/>
  <c r="X37" i="45"/>
  <c r="U37" i="45"/>
  <c r="T37" i="45"/>
  <c r="Q37" i="45"/>
  <c r="P37" i="45"/>
  <c r="N37" i="45"/>
  <c r="M37" i="45"/>
  <c r="L37" i="45"/>
  <c r="W36" i="45"/>
  <c r="V36" i="45"/>
  <c r="S36" i="45" s="1"/>
  <c r="O36" i="45"/>
  <c r="O37" i="45" s="1"/>
  <c r="W35" i="45"/>
  <c r="V35" i="45"/>
  <c r="R37" i="45"/>
  <c r="X32" i="45"/>
  <c r="W32" i="45"/>
  <c r="U32" i="45"/>
  <c r="V32" i="45" s="1"/>
  <c r="T32" i="45"/>
  <c r="Q32" i="45"/>
  <c r="O32" i="45" s="1"/>
  <c r="W31" i="45"/>
  <c r="V31" i="45"/>
  <c r="S31" i="45" s="1"/>
  <c r="O31" i="45"/>
  <c r="X30" i="45"/>
  <c r="W30" i="45"/>
  <c r="U30" i="45"/>
  <c r="V30" i="45" s="1"/>
  <c r="T30" i="45"/>
  <c r="Q30" i="45"/>
  <c r="O30" i="45" s="1"/>
  <c r="X29" i="45"/>
  <c r="U29" i="45"/>
  <c r="T29" i="45"/>
  <c r="Q29" i="45"/>
  <c r="P29" i="45"/>
  <c r="N29" i="45"/>
  <c r="M29" i="45"/>
  <c r="L29" i="45"/>
  <c r="A29" i="45"/>
  <c r="M26" i="45"/>
  <c r="L26" i="45" s="1"/>
  <c r="L27" i="45" s="1"/>
  <c r="L47" i="45" s="1"/>
  <c r="W22" i="45"/>
  <c r="W29" i="45" s="1"/>
  <c r="V22" i="45"/>
  <c r="V29" i="45" s="1"/>
  <c r="N21" i="45"/>
  <c r="N33" i="45" s="1"/>
  <c r="X20" i="45"/>
  <c r="X21" i="45" s="1"/>
  <c r="X33" i="45" s="1"/>
  <c r="W20" i="45"/>
  <c r="U20" i="45"/>
  <c r="V20" i="45" s="1"/>
  <c r="T20" i="45"/>
  <c r="T21" i="45" s="1"/>
  <c r="T33" i="45" s="1"/>
  <c r="X17" i="45"/>
  <c r="U17" i="45"/>
  <c r="T17" i="45"/>
  <c r="P17" i="45"/>
  <c r="N17" i="45"/>
  <c r="L17" i="45"/>
  <c r="W16" i="45"/>
  <c r="V16" i="45"/>
  <c r="R17" i="45"/>
  <c r="Q17" i="45"/>
  <c r="P21" i="45"/>
  <c r="P33" i="45" s="1"/>
  <c r="P34" i="45" s="1"/>
  <c r="M17" i="45"/>
  <c r="L21" i="45"/>
  <c r="L33" i="45" s="1"/>
  <c r="T13" i="45"/>
  <c r="Q13" i="45"/>
  <c r="P13" i="45"/>
  <c r="N13" i="45"/>
  <c r="M13" i="45"/>
  <c r="L13" i="45"/>
  <c r="W12" i="45"/>
  <c r="V12" i="45"/>
  <c r="S30" i="45" l="1"/>
  <c r="L48" i="45"/>
  <c r="K48" i="45" s="1"/>
  <c r="W21" i="45"/>
  <c r="W33" i="45" s="1"/>
  <c r="W34" i="45" s="1"/>
  <c r="U21" i="45"/>
  <c r="U33" i="45" s="1"/>
  <c r="U34" i="45" s="1"/>
  <c r="U46" i="45"/>
  <c r="S22" i="45"/>
  <c r="V17" i="45"/>
  <c r="V21" i="45"/>
  <c r="V33" i="45" s="1"/>
  <c r="V34" i="45" s="1"/>
  <c r="S20" i="45"/>
  <c r="S16" i="45"/>
  <c r="S21" i="45" s="1"/>
  <c r="S33" i="45" s="1"/>
  <c r="T34" i="45"/>
  <c r="S32" i="45"/>
  <c r="T24" i="45"/>
  <c r="T27" i="45" s="1"/>
  <c r="T47" i="45" s="1"/>
  <c r="T50" i="45" s="1"/>
  <c r="J42" i="45"/>
  <c r="K55" i="45"/>
  <c r="X34" i="45"/>
  <c r="V37" i="45"/>
  <c r="U24" i="45"/>
  <c r="U27" i="45" s="1"/>
  <c r="U47" i="45" s="1"/>
  <c r="W37" i="45"/>
  <c r="L34" i="45"/>
  <c r="J55" i="15"/>
  <c r="J52" i="15"/>
  <c r="J51" i="15"/>
  <c r="J50" i="15"/>
  <c r="K50" i="15"/>
  <c r="K51" i="15"/>
  <c r="K52" i="15"/>
  <c r="K55" i="15"/>
  <c r="M37" i="15"/>
  <c r="M48" i="15" s="1"/>
  <c r="L37" i="15"/>
  <c r="L51" i="15"/>
  <c r="L50" i="15"/>
  <c r="L52" i="15"/>
  <c r="L55" i="15"/>
  <c r="N34" i="45"/>
  <c r="N48" i="45"/>
  <c r="N53" i="45" s="1"/>
  <c r="D29" i="29"/>
  <c r="D24" i="29"/>
  <c r="G17" i="29"/>
  <c r="G22" i="29"/>
  <c r="N51" i="15"/>
  <c r="M55" i="15"/>
  <c r="M52" i="15"/>
  <c r="M51" i="15"/>
  <c r="M50" i="15"/>
  <c r="O52" i="15"/>
  <c r="O51" i="15"/>
  <c r="O50" i="15"/>
  <c r="N52" i="15"/>
  <c r="O55" i="15"/>
  <c r="N55" i="15"/>
  <c r="L50" i="45"/>
  <c r="L53" i="45"/>
  <c r="L55" i="45"/>
  <c r="U48" i="45"/>
  <c r="L52" i="45"/>
  <c r="O48" i="45"/>
  <c r="O53" i="45" s="1"/>
  <c r="R13" i="45"/>
  <c r="S12" i="45"/>
  <c r="R46" i="45" s="1"/>
  <c r="W17" i="45"/>
  <c r="M21" i="45"/>
  <c r="M33" i="45" s="1"/>
  <c r="M34" i="45" s="1"/>
  <c r="Q21" i="45"/>
  <c r="Q33" i="45" s="1"/>
  <c r="Q34" i="45" s="1"/>
  <c r="O22" i="45"/>
  <c r="P24" i="45"/>
  <c r="P27" i="45" s="1"/>
  <c r="P47" i="45" s="1"/>
  <c r="P50" i="45" s="1"/>
  <c r="R29" i="45"/>
  <c r="S35" i="45"/>
  <c r="S37" i="45" s="1"/>
  <c r="S48" i="45" s="1"/>
  <c r="S53" i="45" s="1"/>
  <c r="N46" i="45"/>
  <c r="M50" i="45"/>
  <c r="L51" i="45"/>
  <c r="M55" i="45"/>
  <c r="Q24" i="45"/>
  <c r="Q27" i="45" s="1"/>
  <c r="Q47" i="45" s="1"/>
  <c r="Q50" i="45" s="1"/>
  <c r="O46" i="45"/>
  <c r="M51" i="45"/>
  <c r="O16" i="45"/>
  <c r="O17" i="45" s="1"/>
  <c r="T46" i="45"/>
  <c r="R21" i="45"/>
  <c r="R33" i="45" s="1"/>
  <c r="Q40" i="97"/>
  <c r="Q50" i="97" s="1"/>
  <c r="O40" i="97"/>
  <c r="O50" i="97" s="1"/>
  <c r="N40" i="97"/>
  <c r="N41" i="97" s="1"/>
  <c r="M40" i="97"/>
  <c r="M41" i="97" s="1"/>
  <c r="O37" i="97"/>
  <c r="N36" i="97"/>
  <c r="M36" i="97"/>
  <c r="L36" i="97" s="1"/>
  <c r="N35" i="97"/>
  <c r="M35" i="97" s="1"/>
  <c r="N32" i="97"/>
  <c r="M32" i="97" s="1"/>
  <c r="L32" i="97" s="1"/>
  <c r="R10" i="97"/>
  <c r="S10" i="97" s="1"/>
  <c r="J48" i="45" l="1"/>
  <c r="I48" i="45" s="1"/>
  <c r="K53" i="45"/>
  <c r="T48" i="45"/>
  <c r="T53" i="45" s="1"/>
  <c r="S24" i="45"/>
  <c r="S27" i="45" s="1"/>
  <c r="S47" i="45" s="1"/>
  <c r="R24" i="45"/>
  <c r="R27" i="45" s="1"/>
  <c r="R47" i="45" s="1"/>
  <c r="S29" i="45"/>
  <c r="S34" i="45" s="1"/>
  <c r="S17" i="45"/>
  <c r="T52" i="45"/>
  <c r="T51" i="45"/>
  <c r="D27" i="29"/>
  <c r="D47" i="29" s="1"/>
  <c r="D52" i="29" s="1"/>
  <c r="C24" i="29"/>
  <c r="L48" i="15"/>
  <c r="K48" i="15"/>
  <c r="K53" i="15" s="1"/>
  <c r="J48" i="15"/>
  <c r="J53" i="15" s="1"/>
  <c r="I48" i="15"/>
  <c r="I53" i="15" s="1"/>
  <c r="T55" i="45"/>
  <c r="P46" i="45"/>
  <c r="I42" i="45"/>
  <c r="J55" i="45"/>
  <c r="Q41" i="97"/>
  <c r="Q55" i="97" s="1"/>
  <c r="M37" i="97"/>
  <c r="L35" i="97"/>
  <c r="L37" i="97" s="1"/>
  <c r="I53" i="45"/>
  <c r="J53" i="45"/>
  <c r="R34" i="45"/>
  <c r="G29" i="29"/>
  <c r="G24" i="29"/>
  <c r="G25" i="29" s="1"/>
  <c r="F24" i="29"/>
  <c r="F27" i="29" s="1"/>
  <c r="F47" i="29" s="1"/>
  <c r="E24" i="29"/>
  <c r="E25" i="29" s="1"/>
  <c r="D50" i="29"/>
  <c r="D51" i="29"/>
  <c r="O53" i="15"/>
  <c r="O24" i="45"/>
  <c r="O27" i="45" s="1"/>
  <c r="O47" i="45" s="1"/>
  <c r="N24" i="45"/>
  <c r="N27" i="45" s="1"/>
  <c r="N47" i="45" s="1"/>
  <c r="O21" i="45"/>
  <c r="O33" i="45" s="1"/>
  <c r="O29" i="45"/>
  <c r="P55" i="45"/>
  <c r="Q48" i="45"/>
  <c r="Q53" i="45" s="1"/>
  <c r="P48" i="45"/>
  <c r="P53" i="45" s="1"/>
  <c r="R48" i="45"/>
  <c r="R53" i="45" s="1"/>
  <c r="S13" i="45"/>
  <c r="S46" i="45"/>
  <c r="Q52" i="45"/>
  <c r="O13" i="45"/>
  <c r="P51" i="45"/>
  <c r="Q51" i="45"/>
  <c r="Q46" i="45"/>
  <c r="Q55" i="45"/>
  <c r="P52" i="45"/>
  <c r="M51" i="97"/>
  <c r="M55" i="97"/>
  <c r="M53" i="97"/>
  <c r="M52" i="97"/>
  <c r="N53" i="97"/>
  <c r="N51" i="97"/>
  <c r="N52" i="97"/>
  <c r="N55" i="97"/>
  <c r="N37" i="97"/>
  <c r="M50" i="97"/>
  <c r="N50" i="97"/>
  <c r="O41" i="97"/>
  <c r="R50" i="45" l="1"/>
  <c r="R52" i="45"/>
  <c r="R55" i="45"/>
  <c r="R51" i="45"/>
  <c r="D55" i="29"/>
  <c r="S50" i="45"/>
  <c r="S55" i="45"/>
  <c r="S52" i="45"/>
  <c r="S51" i="45"/>
  <c r="B24" i="29"/>
  <c r="B27" i="29" s="1"/>
  <c r="B47" i="29" s="1"/>
  <c r="C27" i="29"/>
  <c r="C47" i="29" s="1"/>
  <c r="Q53" i="97"/>
  <c r="Q52" i="97"/>
  <c r="Q51" i="97"/>
  <c r="O34" i="45"/>
  <c r="H42" i="45"/>
  <c r="I55" i="45"/>
  <c r="L48" i="97"/>
  <c r="L53" i="97" s="1"/>
  <c r="J48" i="97"/>
  <c r="J53" i="97" s="1"/>
  <c r="I48" i="97"/>
  <c r="I53" i="97" s="1"/>
  <c r="K48" i="97"/>
  <c r="K53" i="97" s="1"/>
  <c r="F50" i="29"/>
  <c r="F52" i="29"/>
  <c r="F51" i="29"/>
  <c r="N53" i="15"/>
  <c r="N50" i="45"/>
  <c r="N51" i="45"/>
  <c r="N55" i="45"/>
  <c r="N52" i="45"/>
  <c r="O50" i="45"/>
  <c r="O52" i="45"/>
  <c r="O55" i="45"/>
  <c r="O51" i="45"/>
  <c r="O53" i="97"/>
  <c r="O52" i="97"/>
  <c r="O51" i="97"/>
  <c r="O55" i="97"/>
  <c r="G42" i="45" l="1"/>
  <c r="H55" i="45"/>
  <c r="C50" i="29"/>
  <c r="C51" i="29"/>
  <c r="C52" i="29"/>
  <c r="C55" i="29"/>
  <c r="B50" i="29"/>
  <c r="B51" i="29"/>
  <c r="B52" i="29"/>
  <c r="B55" i="29"/>
  <c r="M53" i="15"/>
  <c r="L53" i="15"/>
  <c r="L55" i="105"/>
  <c r="K55" i="105"/>
  <c r="J55" i="105"/>
  <c r="I55" i="105"/>
  <c r="H55" i="105"/>
  <c r="G55" i="105"/>
  <c r="F55" i="105"/>
  <c r="E55" i="105"/>
  <c r="D55" i="105"/>
  <c r="C55" i="105"/>
  <c r="B55" i="105"/>
  <c r="E50" i="105"/>
  <c r="G44" i="105"/>
  <c r="E41" i="105"/>
  <c r="E52" i="105" s="1"/>
  <c r="D41" i="105"/>
  <c r="C41" i="105"/>
  <c r="B41" i="105"/>
  <c r="D37" i="105"/>
  <c r="L36" i="105"/>
  <c r="K36" i="105" s="1"/>
  <c r="J36" i="105" s="1"/>
  <c r="I36" i="105" s="1"/>
  <c r="H36" i="105"/>
  <c r="H37" i="105" s="1"/>
  <c r="C36" i="105"/>
  <c r="B36" i="105"/>
  <c r="L35" i="105"/>
  <c r="K35" i="105" s="1"/>
  <c r="J35" i="105" s="1"/>
  <c r="G35" i="105"/>
  <c r="F35" i="105" s="1"/>
  <c r="C35" i="105"/>
  <c r="D33" i="105"/>
  <c r="B33" i="105"/>
  <c r="L32" i="105"/>
  <c r="H32" i="105"/>
  <c r="G32" i="105" s="1"/>
  <c r="F32" i="105" s="1"/>
  <c r="E32" i="105" s="1"/>
  <c r="D32" i="105"/>
  <c r="C32" i="105" s="1"/>
  <c r="B32" i="105" s="1"/>
  <c r="L31" i="105"/>
  <c r="K31" i="105" s="1"/>
  <c r="J31" i="105" s="1"/>
  <c r="I31" i="105" s="1"/>
  <c r="H31" i="105"/>
  <c r="G31" i="105" s="1"/>
  <c r="F31" i="105" s="1"/>
  <c r="E31" i="105" s="1"/>
  <c r="C31" i="105"/>
  <c r="B31" i="105" s="1"/>
  <c r="L30" i="105"/>
  <c r="K30" i="105" s="1"/>
  <c r="J30" i="105" s="1"/>
  <c r="I30" i="105" s="1"/>
  <c r="H30" i="105"/>
  <c r="G30" i="105" s="1"/>
  <c r="F30" i="105" s="1"/>
  <c r="C30" i="105"/>
  <c r="B30" i="105" s="1"/>
  <c r="L29" i="105"/>
  <c r="K29" i="105"/>
  <c r="J29" i="105"/>
  <c r="H29" i="105"/>
  <c r="G29" i="105"/>
  <c r="F29" i="105"/>
  <c r="D29" i="105"/>
  <c r="C29" i="105"/>
  <c r="B29" i="105"/>
  <c r="I22" i="105"/>
  <c r="I29" i="105" s="1"/>
  <c r="E22" i="105"/>
  <c r="E29" i="105" s="1"/>
  <c r="L21" i="105"/>
  <c r="K21" i="105"/>
  <c r="K16" i="105" s="1"/>
  <c r="K17" i="105" s="1"/>
  <c r="J21" i="105"/>
  <c r="H21" i="105"/>
  <c r="G21" i="105"/>
  <c r="F21" i="105"/>
  <c r="L20" i="105"/>
  <c r="I20" i="105" s="1"/>
  <c r="J20" i="105"/>
  <c r="H20" i="105"/>
  <c r="G20" i="105"/>
  <c r="F20" i="105"/>
  <c r="L19" i="105"/>
  <c r="K19" i="105"/>
  <c r="J19" i="105"/>
  <c r="H19" i="105"/>
  <c r="H33" i="105" s="1"/>
  <c r="G19" i="105"/>
  <c r="F19" i="105"/>
  <c r="C19" i="105"/>
  <c r="C33" i="105" s="1"/>
  <c r="D17" i="105"/>
  <c r="D16" i="105"/>
  <c r="C16" i="105"/>
  <c r="C17" i="105" s="1"/>
  <c r="B16" i="105"/>
  <c r="B17" i="105" s="1"/>
  <c r="H13" i="105"/>
  <c r="G13" i="105"/>
  <c r="D13" i="105"/>
  <c r="C13" i="105"/>
  <c r="I12" i="105"/>
  <c r="G46" i="105" s="1"/>
  <c r="F12" i="105"/>
  <c r="F10" i="105"/>
  <c r="G10" i="105" s="1"/>
  <c r="H10" i="105" s="1"/>
  <c r="I10" i="105" s="1"/>
  <c r="J10" i="105" s="1"/>
  <c r="K10" i="105" s="1"/>
  <c r="L10" i="105" s="1"/>
  <c r="V55" i="9"/>
  <c r="U55" i="9"/>
  <c r="T55" i="9"/>
  <c r="S55" i="9"/>
  <c r="R55" i="9"/>
  <c r="Q55" i="9"/>
  <c r="P55" i="9"/>
  <c r="O55" i="9"/>
  <c r="N55" i="9"/>
  <c r="M55" i="9"/>
  <c r="L55" i="9"/>
  <c r="K55" i="9"/>
  <c r="J55" i="9"/>
  <c r="S46" i="9"/>
  <c r="R46" i="9"/>
  <c r="Q46" i="9"/>
  <c r="P46" i="9"/>
  <c r="O46" i="9"/>
  <c r="N46" i="9"/>
  <c r="M46" i="9"/>
  <c r="L46" i="9"/>
  <c r="K46" i="9"/>
  <c r="J46" i="9"/>
  <c r="J41" i="9"/>
  <c r="N40" i="9"/>
  <c r="L40" i="9"/>
  <c r="K40" i="9"/>
  <c r="S39" i="9"/>
  <c r="S40" i="9" s="1"/>
  <c r="R39" i="9"/>
  <c r="R40" i="9" s="1"/>
  <c r="Q39" i="9"/>
  <c r="Q40" i="9" s="1"/>
  <c r="P39" i="9"/>
  <c r="P40" i="9" s="1"/>
  <c r="O39" i="9"/>
  <c r="O40" i="9" s="1"/>
  <c r="N39" i="9"/>
  <c r="M39" i="9"/>
  <c r="M40" i="9" s="1"/>
  <c r="L39" i="9"/>
  <c r="K39" i="9"/>
  <c r="V37" i="9"/>
  <c r="U37" i="9"/>
  <c r="T37" i="9"/>
  <c r="S37" i="9"/>
  <c r="R37" i="9"/>
  <c r="Q37" i="9"/>
  <c r="P37" i="9"/>
  <c r="O37" i="9"/>
  <c r="N37" i="9"/>
  <c r="M37" i="9"/>
  <c r="L37" i="9"/>
  <c r="K37" i="9"/>
  <c r="J37" i="9"/>
  <c r="V22" i="9"/>
  <c r="V29" i="9" s="1"/>
  <c r="U22" i="9"/>
  <c r="U29" i="9" s="1"/>
  <c r="T22" i="9"/>
  <c r="T29" i="9" s="1"/>
  <c r="S22" i="9"/>
  <c r="S29" i="9" s="1"/>
  <c r="R22" i="9"/>
  <c r="R29" i="9" s="1"/>
  <c r="Q22" i="9"/>
  <c r="Q29" i="9" s="1"/>
  <c r="P22" i="9"/>
  <c r="P29" i="9" s="1"/>
  <c r="O22" i="9"/>
  <c r="O29" i="9" s="1"/>
  <c r="N22" i="9"/>
  <c r="N29" i="9" s="1"/>
  <c r="M22" i="9"/>
  <c r="M29" i="9" s="1"/>
  <c r="L22" i="9"/>
  <c r="L29" i="9" s="1"/>
  <c r="K22" i="9"/>
  <c r="K29" i="9" s="1"/>
  <c r="J22" i="9"/>
  <c r="V17" i="9"/>
  <c r="U17" i="9"/>
  <c r="T17" i="9"/>
  <c r="S17" i="9"/>
  <c r="R17" i="9"/>
  <c r="Q17" i="9"/>
  <c r="P17" i="9"/>
  <c r="O17" i="9"/>
  <c r="N17" i="9"/>
  <c r="M17" i="9"/>
  <c r="L17" i="9"/>
  <c r="K17" i="9"/>
  <c r="J17" i="9"/>
  <c r="R13" i="9"/>
  <c r="Q13" i="9"/>
  <c r="P13" i="9"/>
  <c r="O13" i="9"/>
  <c r="N13" i="9"/>
  <c r="M13" i="9"/>
  <c r="L13" i="9"/>
  <c r="K13" i="9"/>
  <c r="J13" i="9"/>
  <c r="X55" i="27"/>
  <c r="W55" i="27"/>
  <c r="V55" i="27"/>
  <c r="U55" i="27"/>
  <c r="T55" i="27"/>
  <c r="S55" i="27"/>
  <c r="R55" i="27"/>
  <c r="Q55" i="27"/>
  <c r="P55" i="27"/>
  <c r="O55" i="27"/>
  <c r="N55" i="27"/>
  <c r="M55" i="27"/>
  <c r="L55" i="27"/>
  <c r="U46" i="27"/>
  <c r="T46" i="27"/>
  <c r="S46" i="27"/>
  <c r="R46" i="27"/>
  <c r="Q46" i="27"/>
  <c r="P46" i="27"/>
  <c r="O46" i="27"/>
  <c r="N46" i="27"/>
  <c r="M46" i="27"/>
  <c r="L46" i="27"/>
  <c r="M41" i="27"/>
  <c r="L41" i="27"/>
  <c r="U40" i="27"/>
  <c r="T40" i="27"/>
  <c r="S40" i="27"/>
  <c r="R40" i="27"/>
  <c r="Q40" i="27"/>
  <c r="O40" i="27"/>
  <c r="O41" i="27" s="1"/>
  <c r="N40" i="27"/>
  <c r="N41" i="27" s="1"/>
  <c r="X37" i="27"/>
  <c r="W37" i="27"/>
  <c r="V37" i="27"/>
  <c r="U37" i="27"/>
  <c r="T37" i="27"/>
  <c r="S37" i="27"/>
  <c r="R37" i="27"/>
  <c r="Q37" i="27"/>
  <c r="P37" i="27"/>
  <c r="N37" i="27"/>
  <c r="M37" i="27"/>
  <c r="L37" i="27"/>
  <c r="O36" i="27"/>
  <c r="O35" i="27"/>
  <c r="O32" i="27"/>
  <c r="O31" i="27"/>
  <c r="O30" i="27"/>
  <c r="X22" i="27"/>
  <c r="X29" i="27" s="1"/>
  <c r="X34" i="27" s="1"/>
  <c r="W22" i="27"/>
  <c r="W29" i="27" s="1"/>
  <c r="W34" i="27" s="1"/>
  <c r="V22" i="27"/>
  <c r="U22" i="27"/>
  <c r="U29" i="27" s="1"/>
  <c r="U34" i="27" s="1"/>
  <c r="T22" i="27"/>
  <c r="T29" i="27" s="1"/>
  <c r="T34" i="27" s="1"/>
  <c r="S22" i="27"/>
  <c r="S29" i="27" s="1"/>
  <c r="S34" i="27" s="1"/>
  <c r="R22" i="27"/>
  <c r="R29" i="27" s="1"/>
  <c r="R34" i="27" s="1"/>
  <c r="Q22" i="27"/>
  <c r="Q29" i="27" s="1"/>
  <c r="Q34" i="27" s="1"/>
  <c r="P22" i="27"/>
  <c r="P29" i="27" s="1"/>
  <c r="P34" i="27" s="1"/>
  <c r="O22" i="27"/>
  <c r="N22" i="27"/>
  <c r="M22" i="27"/>
  <c r="M29" i="27" s="1"/>
  <c r="M34" i="27" s="1"/>
  <c r="L22" i="27"/>
  <c r="X17" i="27"/>
  <c r="W17" i="27"/>
  <c r="V17" i="27"/>
  <c r="U17" i="27"/>
  <c r="T17" i="27"/>
  <c r="S17" i="27"/>
  <c r="R17" i="27"/>
  <c r="Q17" i="27"/>
  <c r="P17" i="27"/>
  <c r="O17" i="27"/>
  <c r="N17" i="27"/>
  <c r="M17" i="27"/>
  <c r="L17" i="27"/>
  <c r="T13" i="27"/>
  <c r="S13" i="27"/>
  <c r="R13" i="27"/>
  <c r="Q13" i="27"/>
  <c r="P13" i="27"/>
  <c r="O13" i="27"/>
  <c r="N13" i="27"/>
  <c r="M13" i="27"/>
  <c r="L13" i="27"/>
  <c r="I21" i="105" l="1"/>
  <c r="F46" i="105"/>
  <c r="K33" i="105"/>
  <c r="S48" i="27"/>
  <c r="S53" i="27" s="1"/>
  <c r="G55" i="45"/>
  <c r="F42" i="45"/>
  <c r="U48" i="27"/>
  <c r="U53" i="27" s="1"/>
  <c r="R48" i="9"/>
  <c r="R53" i="9" s="1"/>
  <c r="G16" i="105"/>
  <c r="G17" i="105" s="1"/>
  <c r="G24" i="105"/>
  <c r="G27" i="105" s="1"/>
  <c r="G47" i="105" s="1"/>
  <c r="G36" i="105"/>
  <c r="F36" i="105" s="1"/>
  <c r="E36" i="105" s="1"/>
  <c r="K41" i="9"/>
  <c r="F13" i="105"/>
  <c r="U24" i="27"/>
  <c r="U27" i="27" s="1"/>
  <c r="U47" i="27" s="1"/>
  <c r="T48" i="27"/>
  <c r="T53" i="27" s="1"/>
  <c r="Q48" i="9"/>
  <c r="Q53" i="9" s="1"/>
  <c r="J33" i="105"/>
  <c r="E21" i="105"/>
  <c r="C24" i="105"/>
  <c r="C27" i="105" s="1"/>
  <c r="C47" i="105" s="1"/>
  <c r="C50" i="105" s="1"/>
  <c r="I46" i="105"/>
  <c r="V29" i="27"/>
  <c r="V34" i="27" s="1"/>
  <c r="K48" i="27"/>
  <c r="K53" i="27" s="1"/>
  <c r="S48" i="9"/>
  <c r="S53" i="9" s="1"/>
  <c r="L33" i="105"/>
  <c r="L34" i="105" s="1"/>
  <c r="H16" i="105"/>
  <c r="H17" i="105" s="1"/>
  <c r="L37" i="105"/>
  <c r="P48" i="27"/>
  <c r="P53" i="27" s="1"/>
  <c r="Q48" i="27"/>
  <c r="Q53" i="27" s="1"/>
  <c r="J29" i="9"/>
  <c r="G24" i="9"/>
  <c r="G27" i="9" s="1"/>
  <c r="I24" i="9"/>
  <c r="I27" i="9" s="1"/>
  <c r="I47" i="9" s="1"/>
  <c r="H24" i="9"/>
  <c r="H27" i="9" s="1"/>
  <c r="H47" i="9" s="1"/>
  <c r="M48" i="9"/>
  <c r="M53" i="9" s="1"/>
  <c r="E20" i="105"/>
  <c r="D34" i="105"/>
  <c r="O37" i="27"/>
  <c r="O48" i="27" s="1"/>
  <c r="O53" i="27" s="1"/>
  <c r="J48" i="27"/>
  <c r="J53" i="27" s="1"/>
  <c r="I48" i="27"/>
  <c r="I53" i="27" s="1"/>
  <c r="Q24" i="27"/>
  <c r="Q27" i="27" s="1"/>
  <c r="Q47" i="27" s="1"/>
  <c r="L29" i="27"/>
  <c r="L34" i="27" s="1"/>
  <c r="I24" i="27"/>
  <c r="J24" i="27"/>
  <c r="R48" i="27"/>
  <c r="R53" i="27" s="1"/>
  <c r="N48" i="9"/>
  <c r="N53" i="9" s="1"/>
  <c r="B13" i="105"/>
  <c r="F33" i="105"/>
  <c r="F37" i="105"/>
  <c r="O48" i="9"/>
  <c r="O53" i="9" s="1"/>
  <c r="G33" i="105"/>
  <c r="G37" i="105"/>
  <c r="P48" i="9"/>
  <c r="P53" i="9" s="1"/>
  <c r="L41" i="9"/>
  <c r="J16" i="105"/>
  <c r="J17" i="105" s="1"/>
  <c r="G48" i="9"/>
  <c r="G53" i="9" s="1"/>
  <c r="H48" i="9"/>
  <c r="H53" i="9" s="1"/>
  <c r="M24" i="27"/>
  <c r="M27" i="27" s="1"/>
  <c r="M47" i="27" s="1"/>
  <c r="K24" i="27"/>
  <c r="K27" i="27" s="1"/>
  <c r="K47" i="27" s="1"/>
  <c r="K55" i="27" s="1"/>
  <c r="N24" i="27"/>
  <c r="N27" i="27" s="1"/>
  <c r="N47" i="27" s="1"/>
  <c r="N50" i="27" s="1"/>
  <c r="N29" i="27"/>
  <c r="N34" i="27" s="1"/>
  <c r="M51" i="27"/>
  <c r="K48" i="9"/>
  <c r="K53" i="9" s="1"/>
  <c r="L48" i="9"/>
  <c r="I48" i="9"/>
  <c r="I53" i="9" s="1"/>
  <c r="J48" i="9"/>
  <c r="J53" i="9" s="1"/>
  <c r="G51" i="105"/>
  <c r="G50" i="105"/>
  <c r="C34" i="105"/>
  <c r="G34" i="105"/>
  <c r="G52" i="105"/>
  <c r="F34" i="105"/>
  <c r="E30" i="105"/>
  <c r="H34" i="105"/>
  <c r="J37" i="105"/>
  <c r="I35" i="105"/>
  <c r="C52" i="105"/>
  <c r="F16" i="105"/>
  <c r="F17" i="105" s="1"/>
  <c r="B24" i="105"/>
  <c r="B27" i="105" s="1"/>
  <c r="B47" i="105" s="1"/>
  <c r="F24" i="105"/>
  <c r="F27" i="105" s="1"/>
  <c r="F47" i="105" s="1"/>
  <c r="K32" i="105"/>
  <c r="J32" i="105" s="1"/>
  <c r="B35" i="105"/>
  <c r="C37" i="105"/>
  <c r="K37" i="105"/>
  <c r="H46" i="105"/>
  <c r="E51" i="105"/>
  <c r="E12" i="105"/>
  <c r="L16" i="105"/>
  <c r="L17" i="105" s="1"/>
  <c r="D24" i="105"/>
  <c r="D27" i="105" s="1"/>
  <c r="D47" i="105" s="1"/>
  <c r="D50" i="105" s="1"/>
  <c r="H24" i="105"/>
  <c r="H27" i="105" s="1"/>
  <c r="H47" i="105" s="1"/>
  <c r="E35" i="105"/>
  <c r="C51" i="105"/>
  <c r="E19" i="105"/>
  <c r="I19" i="105"/>
  <c r="E24" i="105"/>
  <c r="E27" i="105" s="1"/>
  <c r="I24" i="105"/>
  <c r="I27" i="105" s="1"/>
  <c r="I47" i="105" s="1"/>
  <c r="M24" i="9"/>
  <c r="M27" i="9" s="1"/>
  <c r="M47" i="9" s="1"/>
  <c r="Q24" i="9"/>
  <c r="Q27" i="9" s="1"/>
  <c r="Q47" i="9" s="1"/>
  <c r="J24" i="9"/>
  <c r="J27" i="9" s="1"/>
  <c r="J47" i="9" s="1"/>
  <c r="J50" i="9" s="1"/>
  <c r="N24" i="9"/>
  <c r="N27" i="9" s="1"/>
  <c r="N47" i="9" s="1"/>
  <c r="R24" i="9"/>
  <c r="R27" i="9" s="1"/>
  <c r="R47" i="9" s="1"/>
  <c r="K24" i="9"/>
  <c r="K27" i="9" s="1"/>
  <c r="K47" i="9" s="1"/>
  <c r="K50" i="9" s="1"/>
  <c r="O24" i="9"/>
  <c r="O27" i="9" s="1"/>
  <c r="O47" i="9" s="1"/>
  <c r="S24" i="9"/>
  <c r="S27" i="9" s="1"/>
  <c r="S47" i="9" s="1"/>
  <c r="L24" i="9"/>
  <c r="L27" i="9" s="1"/>
  <c r="L47" i="9" s="1"/>
  <c r="L50" i="9" s="1"/>
  <c r="P24" i="9"/>
  <c r="P27" i="9" s="1"/>
  <c r="P47" i="9" s="1"/>
  <c r="M52" i="27"/>
  <c r="M50" i="27"/>
  <c r="Q51" i="27"/>
  <c r="Q52" i="27"/>
  <c r="Q50" i="27"/>
  <c r="U51" i="27"/>
  <c r="U52" i="27"/>
  <c r="U50" i="27"/>
  <c r="N51" i="27"/>
  <c r="R24" i="27"/>
  <c r="O24" i="27"/>
  <c r="O27" i="27" s="1"/>
  <c r="O47" i="27" s="1"/>
  <c r="O50" i="27" s="1"/>
  <c r="S24" i="27"/>
  <c r="O29" i="27"/>
  <c r="O34" i="27" s="1"/>
  <c r="L24" i="27"/>
  <c r="L27" i="27" s="1"/>
  <c r="L47" i="27" s="1"/>
  <c r="L50" i="27" s="1"/>
  <c r="P24" i="27"/>
  <c r="T24" i="27"/>
  <c r="W55" i="111"/>
  <c r="V55" i="111"/>
  <c r="U55" i="111"/>
  <c r="P50" i="111"/>
  <c r="P41" i="111"/>
  <c r="P55" i="111" s="1"/>
  <c r="O40" i="111"/>
  <c r="O41" i="111" s="1"/>
  <c r="N40" i="111"/>
  <c r="M40" i="111"/>
  <c r="M41" i="111" s="1"/>
  <c r="N39" i="111"/>
  <c r="W37" i="111"/>
  <c r="V37" i="111"/>
  <c r="U37" i="111"/>
  <c r="S37" i="111"/>
  <c r="R37" i="111"/>
  <c r="Q37" i="111"/>
  <c r="O37" i="111"/>
  <c r="N37" i="111"/>
  <c r="M37" i="111"/>
  <c r="J48" i="111" s="1"/>
  <c r="J53" i="111" s="1"/>
  <c r="T36" i="111"/>
  <c r="P36" i="111"/>
  <c r="T35" i="111"/>
  <c r="P35" i="111"/>
  <c r="W32" i="111"/>
  <c r="V32" i="111"/>
  <c r="U32" i="111"/>
  <c r="S32" i="111"/>
  <c r="R32" i="111"/>
  <c r="Q32" i="111"/>
  <c r="T31" i="111"/>
  <c r="P31" i="111"/>
  <c r="L31" i="111"/>
  <c r="T30" i="111"/>
  <c r="P30" i="111"/>
  <c r="L30" i="111"/>
  <c r="W22" i="111"/>
  <c r="W29" i="111" s="1"/>
  <c r="V22" i="111"/>
  <c r="V29" i="111" s="1"/>
  <c r="U22" i="111"/>
  <c r="U29" i="111" s="1"/>
  <c r="T22" i="111"/>
  <c r="T29" i="111" s="1"/>
  <c r="S22" i="111"/>
  <c r="S29" i="111" s="1"/>
  <c r="R22" i="111"/>
  <c r="Q22" i="111"/>
  <c r="Q29" i="111" s="1"/>
  <c r="P22" i="111"/>
  <c r="P29" i="111" s="1"/>
  <c r="O22" i="111"/>
  <c r="O29" i="111" s="1"/>
  <c r="N22" i="111"/>
  <c r="N29" i="111" s="1"/>
  <c r="M22" i="111"/>
  <c r="J24" i="111" s="1"/>
  <c r="J26" i="111" s="1"/>
  <c r="J27" i="111" s="1"/>
  <c r="J47" i="111" s="1"/>
  <c r="W17" i="111"/>
  <c r="V17" i="111"/>
  <c r="U17" i="111"/>
  <c r="S17" i="111"/>
  <c r="R17" i="111"/>
  <c r="Q17" i="111"/>
  <c r="O17" i="111"/>
  <c r="N17" i="111"/>
  <c r="M17" i="111"/>
  <c r="S13" i="111"/>
  <c r="R13" i="111"/>
  <c r="Q13" i="111"/>
  <c r="O13" i="111"/>
  <c r="N13" i="111"/>
  <c r="M13" i="111"/>
  <c r="T12" i="111"/>
  <c r="T17" i="111" s="1"/>
  <c r="O46" i="111"/>
  <c r="Q10" i="111"/>
  <c r="R10" i="111" s="1"/>
  <c r="S10" i="111" s="1"/>
  <c r="T10" i="111" s="1"/>
  <c r="U10" i="111" s="1"/>
  <c r="V10" i="111" s="1"/>
  <c r="W10" i="111" s="1"/>
  <c r="X55" i="57"/>
  <c r="W55" i="57"/>
  <c r="V55" i="57"/>
  <c r="U46" i="57"/>
  <c r="T46" i="57"/>
  <c r="S46" i="57"/>
  <c r="R46" i="57"/>
  <c r="Q46" i="57"/>
  <c r="P46" i="57"/>
  <c r="U42" i="57"/>
  <c r="T42" i="57"/>
  <c r="S42" i="57"/>
  <c r="R42" i="57"/>
  <c r="Q42" i="57"/>
  <c r="P42" i="57"/>
  <c r="O42" i="57"/>
  <c r="N42" i="57"/>
  <c r="M42" i="57"/>
  <c r="L42" i="57"/>
  <c r="U41" i="57"/>
  <c r="T41" i="57"/>
  <c r="S41" i="57"/>
  <c r="R41" i="57"/>
  <c r="Q41" i="57"/>
  <c r="P40" i="57"/>
  <c r="P41" i="57" s="1"/>
  <c r="O40" i="57"/>
  <c r="O41" i="57" s="1"/>
  <c r="N40" i="57"/>
  <c r="N41" i="57" s="1"/>
  <c r="M40" i="57"/>
  <c r="M41" i="57" s="1"/>
  <c r="L40" i="57"/>
  <c r="L41" i="57" s="1"/>
  <c r="X37" i="57"/>
  <c r="W37" i="57"/>
  <c r="V37" i="57"/>
  <c r="U37" i="57"/>
  <c r="T37" i="57"/>
  <c r="S37" i="57"/>
  <c r="R37" i="57"/>
  <c r="Q37" i="57"/>
  <c r="N37" i="57"/>
  <c r="M37" i="57"/>
  <c r="P36" i="57"/>
  <c r="O36" i="57" s="1"/>
  <c r="K36" i="57"/>
  <c r="K37" i="57" s="1"/>
  <c r="P35" i="57"/>
  <c r="R32" i="57"/>
  <c r="O32" i="57" s="1"/>
  <c r="Q32" i="57"/>
  <c r="P32" i="57"/>
  <c r="M32" i="57"/>
  <c r="O30" i="57"/>
  <c r="X29" i="57"/>
  <c r="W29" i="57"/>
  <c r="V29" i="57"/>
  <c r="U29" i="57"/>
  <c r="T29" i="57"/>
  <c r="S29" i="57"/>
  <c r="R29" i="57"/>
  <c r="Q29" i="57"/>
  <c r="P29" i="57"/>
  <c r="O29" i="57"/>
  <c r="N29" i="57"/>
  <c r="M29" i="57"/>
  <c r="L29" i="57"/>
  <c r="U24" i="57"/>
  <c r="U27" i="57" s="1"/>
  <c r="U47" i="57" s="1"/>
  <c r="U50" i="57" s="1"/>
  <c r="T24" i="57"/>
  <c r="T27" i="57" s="1"/>
  <c r="T47" i="57" s="1"/>
  <c r="T50" i="57" s="1"/>
  <c r="S24" i="57"/>
  <c r="S27" i="57" s="1"/>
  <c r="S47" i="57" s="1"/>
  <c r="S50" i="57" s="1"/>
  <c r="R24" i="57"/>
  <c r="R27" i="57" s="1"/>
  <c r="R47" i="57" s="1"/>
  <c r="R50" i="57" s="1"/>
  <c r="Q24" i="57"/>
  <c r="Q27" i="57" s="1"/>
  <c r="Q47" i="57" s="1"/>
  <c r="Q50" i="57" s="1"/>
  <c r="P24" i="57"/>
  <c r="P27" i="57" s="1"/>
  <c r="P47" i="57" s="1"/>
  <c r="O24" i="57"/>
  <c r="O27" i="57" s="1"/>
  <c r="O47" i="57" s="1"/>
  <c r="O50" i="57" s="1"/>
  <c r="N24" i="57"/>
  <c r="N27" i="57" s="1"/>
  <c r="N47" i="57" s="1"/>
  <c r="M24" i="57"/>
  <c r="M27" i="57" s="1"/>
  <c r="M47" i="57" s="1"/>
  <c r="M50" i="57" s="1"/>
  <c r="L24" i="57"/>
  <c r="L27" i="57" s="1"/>
  <c r="L47" i="57" s="1"/>
  <c r="X21" i="57"/>
  <c r="X33" i="57" s="1"/>
  <c r="W21" i="57"/>
  <c r="W33" i="57" s="1"/>
  <c r="V21" i="57"/>
  <c r="V33" i="57" s="1"/>
  <c r="U21" i="57"/>
  <c r="U33" i="57" s="1"/>
  <c r="T21" i="57"/>
  <c r="T33" i="57" s="1"/>
  <c r="S21" i="57"/>
  <c r="S33" i="57" s="1"/>
  <c r="R21" i="57"/>
  <c r="R33" i="57" s="1"/>
  <c r="Q21" i="57"/>
  <c r="Q33" i="57" s="1"/>
  <c r="P21" i="57"/>
  <c r="P33" i="57" s="1"/>
  <c r="N21" i="57"/>
  <c r="N33" i="57" s="1"/>
  <c r="M21" i="57"/>
  <c r="M33" i="57" s="1"/>
  <c r="L21" i="57"/>
  <c r="L33" i="57" s="1"/>
  <c r="X17" i="57"/>
  <c r="W17" i="57"/>
  <c r="V17" i="57"/>
  <c r="U17" i="57"/>
  <c r="T17" i="57"/>
  <c r="S17" i="57"/>
  <c r="R17" i="57"/>
  <c r="Q17" i="57"/>
  <c r="P17" i="57"/>
  <c r="N17" i="57"/>
  <c r="M17" i="57"/>
  <c r="L17" i="57"/>
  <c r="T13" i="57"/>
  <c r="S13" i="57"/>
  <c r="R13" i="57"/>
  <c r="Q13" i="57"/>
  <c r="P13" i="57"/>
  <c r="N13" i="57"/>
  <c r="M13" i="57"/>
  <c r="L13" i="57"/>
  <c r="O12" i="57"/>
  <c r="Y55" i="19"/>
  <c r="X55" i="19"/>
  <c r="W55" i="19"/>
  <c r="V55" i="19"/>
  <c r="U55" i="19"/>
  <c r="T55" i="19"/>
  <c r="S55" i="19"/>
  <c r="R55" i="19"/>
  <c r="Q55" i="19"/>
  <c r="P55" i="19"/>
  <c r="O55" i="19"/>
  <c r="N55" i="19"/>
  <c r="M55" i="19"/>
  <c r="V46" i="19"/>
  <c r="U46" i="19"/>
  <c r="T46" i="19"/>
  <c r="S46" i="19"/>
  <c r="R46" i="19"/>
  <c r="Q41" i="19"/>
  <c r="Q52" i="19" s="1"/>
  <c r="P41" i="19"/>
  <c r="O41" i="19"/>
  <c r="N41" i="19"/>
  <c r="V40" i="19"/>
  <c r="U40" i="19"/>
  <c r="T40" i="19"/>
  <c r="S40" i="19"/>
  <c r="R40" i="19"/>
  <c r="R41" i="19" s="1"/>
  <c r="Q39" i="19"/>
  <c r="Q50" i="19" s="1"/>
  <c r="M39" i="19"/>
  <c r="M41" i="19" s="1"/>
  <c r="Y37" i="19"/>
  <c r="X37" i="19"/>
  <c r="W37" i="19"/>
  <c r="V37" i="19"/>
  <c r="U37" i="19"/>
  <c r="T37" i="19"/>
  <c r="S37" i="19"/>
  <c r="O37" i="19"/>
  <c r="R36" i="19"/>
  <c r="Q36" i="19" s="1"/>
  <c r="P36" i="19" s="1"/>
  <c r="R35" i="19"/>
  <c r="R32" i="19"/>
  <c r="Q32" i="19" s="1"/>
  <c r="P32" i="19" s="1"/>
  <c r="R31" i="19"/>
  <c r="Q31" i="19" s="1"/>
  <c r="P31" i="19" s="1"/>
  <c r="L31" i="19"/>
  <c r="R30" i="19"/>
  <c r="Q30" i="19" s="1"/>
  <c r="P30" i="19" s="1"/>
  <c r="L30" i="19"/>
  <c r="Y22" i="19"/>
  <c r="Y29" i="19" s="1"/>
  <c r="X22" i="19"/>
  <c r="X29" i="19" s="1"/>
  <c r="W22" i="19"/>
  <c r="W29" i="19" s="1"/>
  <c r="V22" i="19"/>
  <c r="V29" i="19" s="1"/>
  <c r="U22" i="19"/>
  <c r="T22" i="19"/>
  <c r="T29" i="19" s="1"/>
  <c r="S22" i="19"/>
  <c r="S29" i="19" s="1"/>
  <c r="R22" i="19"/>
  <c r="R29" i="19" s="1"/>
  <c r="Q22" i="19"/>
  <c r="M22" i="19"/>
  <c r="Y17" i="19"/>
  <c r="X17" i="19"/>
  <c r="W17" i="19"/>
  <c r="V17" i="19"/>
  <c r="U17" i="19"/>
  <c r="T17" i="19"/>
  <c r="S17" i="19"/>
  <c r="R17" i="19"/>
  <c r="Q17" i="19"/>
  <c r="M17" i="19"/>
  <c r="U13" i="19"/>
  <c r="T13" i="19"/>
  <c r="S13" i="19"/>
  <c r="R13" i="19"/>
  <c r="Q13" i="19"/>
  <c r="O13" i="19"/>
  <c r="N13" i="19"/>
  <c r="M13" i="19"/>
  <c r="S55" i="116"/>
  <c r="R55" i="116"/>
  <c r="Q55" i="116"/>
  <c r="P55" i="116"/>
  <c r="O55" i="116"/>
  <c r="N46" i="116"/>
  <c r="M46" i="116"/>
  <c r="M42" i="116"/>
  <c r="L42" i="116" s="1"/>
  <c r="N41" i="116"/>
  <c r="N53" i="116" s="1"/>
  <c r="M40" i="116"/>
  <c r="M39" i="116"/>
  <c r="M41" i="116" s="1"/>
  <c r="Q37" i="116"/>
  <c r="P37" i="116"/>
  <c r="O37" i="116"/>
  <c r="N37" i="116"/>
  <c r="M37" i="116"/>
  <c r="M48" i="116" s="1"/>
  <c r="Q22" i="116"/>
  <c r="Q29" i="116" s="1"/>
  <c r="P22" i="116"/>
  <c r="O22" i="116"/>
  <c r="N22" i="116"/>
  <c r="N29" i="116" s="1"/>
  <c r="M22" i="116"/>
  <c r="Q17" i="116"/>
  <c r="P17" i="116"/>
  <c r="O17" i="116"/>
  <c r="N17" i="116"/>
  <c r="M17" i="116"/>
  <c r="M13" i="116"/>
  <c r="O10" i="116"/>
  <c r="P10" i="116" s="1"/>
  <c r="Q10" i="116" s="1"/>
  <c r="R10" i="116" s="1"/>
  <c r="S10" i="116" s="1"/>
  <c r="S55" i="13"/>
  <c r="R55" i="13"/>
  <c r="Q55" i="13"/>
  <c r="P55" i="13"/>
  <c r="O55" i="13"/>
  <c r="N55" i="13"/>
  <c r="M55" i="13"/>
  <c r="L55" i="13"/>
  <c r="S46" i="13"/>
  <c r="R46" i="13"/>
  <c r="Q46" i="13"/>
  <c r="P46" i="13"/>
  <c r="O46" i="13"/>
  <c r="N46" i="13"/>
  <c r="M46" i="13"/>
  <c r="L46" i="13"/>
  <c r="S41" i="13"/>
  <c r="R41" i="13"/>
  <c r="Q41" i="13"/>
  <c r="P41" i="13"/>
  <c r="O40" i="13"/>
  <c r="O41" i="13" s="1"/>
  <c r="M40" i="13"/>
  <c r="M41" i="13" s="1"/>
  <c r="V37" i="13"/>
  <c r="U37" i="13"/>
  <c r="T37" i="13"/>
  <c r="S37" i="13"/>
  <c r="R37" i="13"/>
  <c r="Q37" i="13"/>
  <c r="P37" i="13"/>
  <c r="O37" i="13"/>
  <c r="N37" i="13"/>
  <c r="M37" i="13"/>
  <c r="L37" i="13"/>
  <c r="R32" i="13"/>
  <c r="P32" i="13"/>
  <c r="N32" i="13"/>
  <c r="L32" i="13"/>
  <c r="V17" i="13"/>
  <c r="U17" i="13"/>
  <c r="T17" i="13"/>
  <c r="S17" i="13"/>
  <c r="R17" i="13"/>
  <c r="Q17" i="13"/>
  <c r="P17" i="13"/>
  <c r="O17" i="13"/>
  <c r="N17" i="13"/>
  <c r="M17" i="13"/>
  <c r="L17" i="13"/>
  <c r="R13" i="13"/>
  <c r="Q13" i="13"/>
  <c r="P13" i="13"/>
  <c r="O13" i="13"/>
  <c r="N13" i="13"/>
  <c r="M13" i="13"/>
  <c r="L13" i="13"/>
  <c r="O55" i="107"/>
  <c r="N55" i="107"/>
  <c r="M55" i="107"/>
  <c r="L55" i="107"/>
  <c r="K55" i="107"/>
  <c r="J55" i="107"/>
  <c r="I55" i="107"/>
  <c r="H50" i="107"/>
  <c r="L46" i="107"/>
  <c r="K46" i="107"/>
  <c r="J46" i="107"/>
  <c r="I46" i="107"/>
  <c r="G46" i="107"/>
  <c r="F46" i="107"/>
  <c r="E46" i="107"/>
  <c r="E42" i="107"/>
  <c r="D42" i="107" s="1"/>
  <c r="H41" i="107"/>
  <c r="H52" i="107" s="1"/>
  <c r="G41" i="107"/>
  <c r="F41" i="107"/>
  <c r="E41" i="107"/>
  <c r="G37" i="107"/>
  <c r="O36" i="107"/>
  <c r="N36" i="107"/>
  <c r="M36" i="107"/>
  <c r="L36" i="107"/>
  <c r="K36" i="107"/>
  <c r="J36" i="107" s="1"/>
  <c r="I36" i="107" s="1"/>
  <c r="H36" i="107" s="1"/>
  <c r="E36" i="107"/>
  <c r="D36" i="107" s="1"/>
  <c r="J35" i="107"/>
  <c r="E35" i="107"/>
  <c r="D35" i="107" s="1"/>
  <c r="J32" i="107"/>
  <c r="I32" i="107" s="1"/>
  <c r="H32" i="107" s="1"/>
  <c r="G32" i="107"/>
  <c r="F32" i="107" s="1"/>
  <c r="E32" i="107" s="1"/>
  <c r="D32" i="107" s="1"/>
  <c r="J29" i="107"/>
  <c r="I29" i="107"/>
  <c r="F29" i="107"/>
  <c r="E29" i="107"/>
  <c r="O22" i="107"/>
  <c r="O29" i="107" s="1"/>
  <c r="N22" i="107"/>
  <c r="N29" i="107" s="1"/>
  <c r="M22" i="107"/>
  <c r="M29" i="107" s="1"/>
  <c r="L22" i="107"/>
  <c r="L29" i="107" s="1"/>
  <c r="K22" i="107"/>
  <c r="F21" i="107"/>
  <c r="O17" i="107"/>
  <c r="N17" i="107"/>
  <c r="M17" i="107"/>
  <c r="L17" i="107"/>
  <c r="K17" i="107"/>
  <c r="I17" i="107"/>
  <c r="G17" i="107"/>
  <c r="J16" i="107"/>
  <c r="J17" i="107" s="1"/>
  <c r="I16" i="107"/>
  <c r="I21" i="107" s="1"/>
  <c r="F17" i="107"/>
  <c r="E16" i="107"/>
  <c r="E21" i="107" s="1"/>
  <c r="K13" i="107"/>
  <c r="J13" i="107"/>
  <c r="I13" i="107"/>
  <c r="H13" i="107"/>
  <c r="G13" i="107"/>
  <c r="F13" i="107"/>
  <c r="E13" i="107"/>
  <c r="I10" i="107"/>
  <c r="J10" i="107" s="1"/>
  <c r="K10" i="107" s="1"/>
  <c r="L10" i="107" s="1"/>
  <c r="M10" i="107" s="1"/>
  <c r="N10" i="107" s="1"/>
  <c r="O10" i="107" s="1"/>
  <c r="P52" i="111" l="1"/>
  <c r="V48" i="19"/>
  <c r="V53" i="19" s="1"/>
  <c r="E42" i="45"/>
  <c r="F55" i="45"/>
  <c r="N50" i="57"/>
  <c r="U51" i="57"/>
  <c r="P32" i="111"/>
  <c r="P51" i="111"/>
  <c r="H55" i="107"/>
  <c r="Q48" i="57"/>
  <c r="Q53" i="57" s="1"/>
  <c r="U48" i="57"/>
  <c r="P37" i="111"/>
  <c r="J21" i="107"/>
  <c r="H21" i="107" s="1"/>
  <c r="P53" i="111"/>
  <c r="U34" i="57"/>
  <c r="P50" i="57"/>
  <c r="T37" i="111"/>
  <c r="R37" i="19"/>
  <c r="R48" i="19" s="1"/>
  <c r="R53" i="19" s="1"/>
  <c r="O51" i="27"/>
  <c r="J25" i="27"/>
  <c r="J27" i="27" s="1"/>
  <c r="J47" i="27" s="1"/>
  <c r="U53" i="57"/>
  <c r="K29" i="107"/>
  <c r="H22" i="107"/>
  <c r="O24" i="111"/>
  <c r="O27" i="111" s="1"/>
  <c r="O47" i="111" s="1"/>
  <c r="O50" i="111" s="1"/>
  <c r="I27" i="27"/>
  <c r="I47" i="27" s="1"/>
  <c r="I25" i="27"/>
  <c r="M48" i="27"/>
  <c r="M53" i="27" s="1"/>
  <c r="K52" i="9"/>
  <c r="H50" i="9"/>
  <c r="H52" i="9"/>
  <c r="H51" i="9"/>
  <c r="J52" i="9"/>
  <c r="Q51" i="57"/>
  <c r="H51" i="107"/>
  <c r="U24" i="19"/>
  <c r="U27" i="19" s="1"/>
  <c r="U47" i="19" s="1"/>
  <c r="U50" i="19" s="1"/>
  <c r="S48" i="19"/>
  <c r="S53" i="19" s="1"/>
  <c r="L50" i="57"/>
  <c r="R48" i="57"/>
  <c r="R53" i="57" s="1"/>
  <c r="L48" i="27"/>
  <c r="L53" i="27" s="1"/>
  <c r="J51" i="9"/>
  <c r="I50" i="9"/>
  <c r="I52" i="9"/>
  <c r="I51" i="9"/>
  <c r="M34" i="57"/>
  <c r="L32" i="57"/>
  <c r="K32" i="57" s="1"/>
  <c r="K34" i="57" s="1"/>
  <c r="N46" i="57"/>
  <c r="K13" i="57"/>
  <c r="C42" i="107"/>
  <c r="B42" i="107" s="1"/>
  <c r="V34" i="57"/>
  <c r="T48" i="19"/>
  <c r="T53" i="19" s="1"/>
  <c r="S48" i="57"/>
  <c r="S53" i="57" s="1"/>
  <c r="J50" i="111"/>
  <c r="J55" i="111"/>
  <c r="J52" i="111"/>
  <c r="J51" i="111"/>
  <c r="T32" i="111"/>
  <c r="O52" i="27"/>
  <c r="L53" i="9"/>
  <c r="G47" i="9"/>
  <c r="R34" i="57"/>
  <c r="O17" i="57"/>
  <c r="N34" i="57"/>
  <c r="D21" i="107"/>
  <c r="C21" i="107" s="1"/>
  <c r="U48" i="19"/>
  <c r="U53" i="19" s="1"/>
  <c r="P37" i="57"/>
  <c r="P48" i="57" s="1"/>
  <c r="P53" i="57" s="1"/>
  <c r="T48" i="57"/>
  <c r="T53" i="57" s="1"/>
  <c r="N41" i="111"/>
  <c r="N48" i="27"/>
  <c r="N53" i="27" s="1"/>
  <c r="I48" i="13"/>
  <c r="I53" i="13" s="1"/>
  <c r="J48" i="13"/>
  <c r="J53" i="13" s="1"/>
  <c r="H48" i="57"/>
  <c r="H53" i="57" s="1"/>
  <c r="J24" i="19"/>
  <c r="K48" i="111"/>
  <c r="K53" i="111" s="1"/>
  <c r="L48" i="111"/>
  <c r="L53" i="111" s="1"/>
  <c r="J24" i="116"/>
  <c r="J26" i="116" s="1"/>
  <c r="J27" i="116" s="1"/>
  <c r="J47" i="116" s="1"/>
  <c r="D37" i="107"/>
  <c r="K52" i="27"/>
  <c r="K50" i="27"/>
  <c r="K51" i="27"/>
  <c r="N52" i="27"/>
  <c r="K48" i="13"/>
  <c r="K53" i="13" s="1"/>
  <c r="N40" i="13"/>
  <c r="N41" i="13" s="1"/>
  <c r="K42" i="116"/>
  <c r="J42" i="116" s="1"/>
  <c r="I42" i="116" s="1"/>
  <c r="M29" i="116"/>
  <c r="K24" i="116"/>
  <c r="O24" i="116"/>
  <c r="O27" i="116" s="1"/>
  <c r="O47" i="116" s="1"/>
  <c r="P29" i="116"/>
  <c r="P24" i="116"/>
  <c r="P27" i="116" s="1"/>
  <c r="P47" i="116" s="1"/>
  <c r="J48" i="57"/>
  <c r="J53" i="57" s="1"/>
  <c r="M37" i="19"/>
  <c r="L37" i="19"/>
  <c r="I48" i="19" s="1"/>
  <c r="I53" i="19" s="1"/>
  <c r="M29" i="111"/>
  <c r="L24" i="111"/>
  <c r="L27" i="111" s="1"/>
  <c r="L47" i="111" s="1"/>
  <c r="K24" i="111"/>
  <c r="O48" i="111"/>
  <c r="O53" i="111" s="1"/>
  <c r="N48" i="111"/>
  <c r="O29" i="116"/>
  <c r="L24" i="116"/>
  <c r="L27" i="116" s="1"/>
  <c r="L47" i="116" s="1"/>
  <c r="M53" i="116"/>
  <c r="Q24" i="19"/>
  <c r="Q27" i="19" s="1"/>
  <c r="M46" i="19"/>
  <c r="L13" i="19"/>
  <c r="O48" i="13"/>
  <c r="S48" i="13"/>
  <c r="S53" i="13" s="1"/>
  <c r="L41" i="13"/>
  <c r="L48" i="13"/>
  <c r="P48" i="13"/>
  <c r="P53" i="13" s="1"/>
  <c r="I32" i="105"/>
  <c r="J34" i="105"/>
  <c r="D51" i="105"/>
  <c r="E16" i="105"/>
  <c r="E17" i="105" s="1"/>
  <c r="E33" i="105"/>
  <c r="H52" i="105"/>
  <c r="H51" i="105"/>
  <c r="H50" i="105"/>
  <c r="B37" i="105"/>
  <c r="B34" i="105"/>
  <c r="I37" i="105"/>
  <c r="I52" i="105"/>
  <c r="I51" i="105"/>
  <c r="I50" i="105"/>
  <c r="E37" i="105"/>
  <c r="E34" i="105"/>
  <c r="F52" i="105"/>
  <c r="F51" i="105"/>
  <c r="F50" i="105"/>
  <c r="D52" i="105"/>
  <c r="I16" i="105"/>
  <c r="I17" i="105" s="1"/>
  <c r="I33" i="105"/>
  <c r="K34" i="105"/>
  <c r="B46" i="105"/>
  <c r="D46" i="105"/>
  <c r="C46" i="105"/>
  <c r="E13" i="105"/>
  <c r="B52" i="105"/>
  <c r="B51" i="105"/>
  <c r="B50" i="105"/>
  <c r="Q52" i="9"/>
  <c r="Q50" i="9"/>
  <c r="Q51" i="9"/>
  <c r="L51" i="9"/>
  <c r="S51" i="9"/>
  <c r="S52" i="9"/>
  <c r="S50" i="9"/>
  <c r="R52" i="9"/>
  <c r="R50" i="9"/>
  <c r="R51" i="9"/>
  <c r="M52" i="9"/>
  <c r="M50" i="9"/>
  <c r="M51" i="9"/>
  <c r="O51" i="9"/>
  <c r="O52" i="9"/>
  <c r="O50" i="9"/>
  <c r="N52" i="9"/>
  <c r="N50" i="9"/>
  <c r="N51" i="9"/>
  <c r="P51" i="9"/>
  <c r="P52" i="9"/>
  <c r="P50" i="9"/>
  <c r="L52" i="9"/>
  <c r="K51" i="9"/>
  <c r="P25" i="27"/>
  <c r="P27" i="27" s="1"/>
  <c r="P47" i="27" s="1"/>
  <c r="L52" i="27"/>
  <c r="S25" i="27"/>
  <c r="S27" i="27" s="1"/>
  <c r="S47" i="27" s="1"/>
  <c r="T25" i="27"/>
  <c r="T27" i="27"/>
  <c r="T47" i="27" s="1"/>
  <c r="L51" i="27"/>
  <c r="R25" i="27"/>
  <c r="R27" i="27" s="1"/>
  <c r="R47" i="27" s="1"/>
  <c r="O55" i="111"/>
  <c r="P13" i="111"/>
  <c r="S24" i="111"/>
  <c r="S27" i="111" s="1"/>
  <c r="M24" i="111"/>
  <c r="M27" i="111" s="1"/>
  <c r="M47" i="111" s="1"/>
  <c r="M50" i="111" s="1"/>
  <c r="Q24" i="111"/>
  <c r="Q27" i="111" s="1"/>
  <c r="M46" i="111"/>
  <c r="P17" i="111"/>
  <c r="N24" i="111"/>
  <c r="N27" i="111" s="1"/>
  <c r="N47" i="111" s="1"/>
  <c r="N50" i="111" s="1"/>
  <c r="R24" i="111"/>
  <c r="R27" i="111" s="1"/>
  <c r="R29" i="111"/>
  <c r="N46" i="111"/>
  <c r="M48" i="111"/>
  <c r="M53" i="111" s="1"/>
  <c r="P24" i="111"/>
  <c r="P27" i="111" s="1"/>
  <c r="T24" i="111"/>
  <c r="T27" i="111" s="1"/>
  <c r="O51" i="111"/>
  <c r="O52" i="111"/>
  <c r="T34" i="57"/>
  <c r="O55" i="57"/>
  <c r="M51" i="57"/>
  <c r="M52" i="57"/>
  <c r="L52" i="57"/>
  <c r="R51" i="57"/>
  <c r="L55" i="57"/>
  <c r="P55" i="57"/>
  <c r="T55" i="57"/>
  <c r="P34" i="57"/>
  <c r="X34" i="57"/>
  <c r="S55" i="57"/>
  <c r="N51" i="57"/>
  <c r="N52" i="57"/>
  <c r="O52" i="57"/>
  <c r="S52" i="57"/>
  <c r="M55" i="57"/>
  <c r="Q55" i="57"/>
  <c r="U55" i="57"/>
  <c r="S34" i="57"/>
  <c r="W34" i="57"/>
  <c r="Q34" i="57"/>
  <c r="P52" i="57"/>
  <c r="T52" i="57"/>
  <c r="N55" i="57"/>
  <c r="R55" i="57"/>
  <c r="O21" i="57"/>
  <c r="O33" i="57" s="1"/>
  <c r="O35" i="57"/>
  <c r="O46" i="57"/>
  <c r="O51" i="57"/>
  <c r="S51" i="57"/>
  <c r="Q52" i="57"/>
  <c r="U52" i="57"/>
  <c r="O13" i="57"/>
  <c r="L46" i="57"/>
  <c r="L51" i="57"/>
  <c r="P51" i="57"/>
  <c r="T51" i="57"/>
  <c r="R52" i="57"/>
  <c r="M46" i="57"/>
  <c r="O17" i="19"/>
  <c r="O22" i="19"/>
  <c r="U52" i="19"/>
  <c r="P13" i="19"/>
  <c r="P17" i="19"/>
  <c r="P22" i="19"/>
  <c r="S24" i="19"/>
  <c r="S27" i="19" s="1"/>
  <c r="S47" i="19" s="1"/>
  <c r="M29" i="19"/>
  <c r="Q29" i="19"/>
  <c r="U29" i="19"/>
  <c r="Q51" i="19"/>
  <c r="R24" i="19"/>
  <c r="R27" i="19" s="1"/>
  <c r="R47" i="19" s="1"/>
  <c r="R50" i="19" s="1"/>
  <c r="T24" i="19"/>
  <c r="T27" i="19" s="1"/>
  <c r="T47" i="19" s="1"/>
  <c r="Q35" i="19"/>
  <c r="N37" i="19"/>
  <c r="V24" i="19"/>
  <c r="V27" i="19" s="1"/>
  <c r="V47" i="19" s="1"/>
  <c r="M24" i="116"/>
  <c r="M27" i="116" s="1"/>
  <c r="M47" i="116" s="1"/>
  <c r="M50" i="116" s="1"/>
  <c r="N24" i="116"/>
  <c r="N27" i="116" s="1"/>
  <c r="N47" i="116" s="1"/>
  <c r="N50" i="116" s="1"/>
  <c r="O53" i="13"/>
  <c r="Q48" i="13"/>
  <c r="Q53" i="13" s="1"/>
  <c r="N48" i="13"/>
  <c r="R48" i="13"/>
  <c r="R53" i="13" s="1"/>
  <c r="M48" i="13"/>
  <c r="M53" i="13" s="1"/>
  <c r="E37" i="107"/>
  <c r="J37" i="107"/>
  <c r="E17" i="107"/>
  <c r="I24" i="107"/>
  <c r="I27" i="107" s="1"/>
  <c r="I47" i="107" s="1"/>
  <c r="J24" i="107"/>
  <c r="J27" i="107" s="1"/>
  <c r="J47" i="107" s="1"/>
  <c r="I35" i="107"/>
  <c r="K24" i="107"/>
  <c r="K27" i="107" s="1"/>
  <c r="K47" i="107" s="1"/>
  <c r="F37" i="107"/>
  <c r="K37" i="107"/>
  <c r="L24" i="107"/>
  <c r="L27" i="107" s="1"/>
  <c r="L47" i="107" s="1"/>
  <c r="N55" i="126"/>
  <c r="N53" i="126"/>
  <c r="N52" i="126"/>
  <c r="N51" i="126"/>
  <c r="N50" i="126"/>
  <c r="O10" i="126"/>
  <c r="C10" i="85"/>
  <c r="D10" i="85" s="1"/>
  <c r="E10" i="85" s="1"/>
  <c r="F10" i="85" s="1"/>
  <c r="G10" i="85" s="1"/>
  <c r="H10" i="85" s="1"/>
  <c r="I10" i="85" s="1"/>
  <c r="B13" i="85"/>
  <c r="C13" i="85"/>
  <c r="D13" i="85"/>
  <c r="E13" i="85"/>
  <c r="B17" i="85"/>
  <c r="C17" i="85"/>
  <c r="D17" i="85"/>
  <c r="E17" i="85"/>
  <c r="F17" i="85"/>
  <c r="G17" i="85"/>
  <c r="H17" i="85"/>
  <c r="I17" i="85"/>
  <c r="B22" i="85"/>
  <c r="B29" i="85" s="1"/>
  <c r="C22" i="85"/>
  <c r="C29" i="85" s="1"/>
  <c r="D22" i="85"/>
  <c r="D29" i="85" s="1"/>
  <c r="E22" i="85"/>
  <c r="E29" i="85" s="1"/>
  <c r="F22" i="85"/>
  <c r="F29" i="85" s="1"/>
  <c r="G22" i="85"/>
  <c r="G29" i="85" s="1"/>
  <c r="H22" i="85"/>
  <c r="H29" i="85" s="1"/>
  <c r="I22" i="85"/>
  <c r="I29" i="85" s="1"/>
  <c r="B37" i="85"/>
  <c r="C37" i="85"/>
  <c r="D37" i="85"/>
  <c r="E37" i="85"/>
  <c r="F37" i="85"/>
  <c r="G37" i="85"/>
  <c r="H37" i="85"/>
  <c r="I37" i="85"/>
  <c r="B55" i="85"/>
  <c r="H55" i="85"/>
  <c r="I55" i="85"/>
  <c r="E55" i="45" l="1"/>
  <c r="D42" i="45"/>
  <c r="D55" i="45" s="1"/>
  <c r="L34" i="57"/>
  <c r="J52" i="27"/>
  <c r="J50" i="27"/>
  <c r="J51" i="27"/>
  <c r="J55" i="27"/>
  <c r="H16" i="107"/>
  <c r="H17" i="107" s="1"/>
  <c r="C24" i="85"/>
  <c r="C27" i="85" s="1"/>
  <c r="E24" i="85"/>
  <c r="E27" i="85" s="1"/>
  <c r="I37" i="107"/>
  <c r="H35" i="107"/>
  <c r="H37" i="107" s="1"/>
  <c r="E48" i="107" s="1"/>
  <c r="H42" i="116"/>
  <c r="I55" i="116"/>
  <c r="U51" i="19"/>
  <c r="N53" i="111"/>
  <c r="G51" i="9"/>
  <c r="G50" i="9"/>
  <c r="F48" i="107"/>
  <c r="I34" i="105"/>
  <c r="I50" i="27"/>
  <c r="I51" i="27"/>
  <c r="I52" i="27"/>
  <c r="I55" i="27"/>
  <c r="G52" i="9"/>
  <c r="K48" i="57"/>
  <c r="K53" i="57" s="1"/>
  <c r="I48" i="57"/>
  <c r="I53" i="57" s="1"/>
  <c r="J25" i="19"/>
  <c r="J27" i="19" s="1"/>
  <c r="J47" i="19" s="1"/>
  <c r="J55" i="116"/>
  <c r="J51" i="116"/>
  <c r="J50" i="116"/>
  <c r="J52" i="116"/>
  <c r="D48" i="107"/>
  <c r="D53" i="107" s="1"/>
  <c r="C48" i="107"/>
  <c r="C53" i="107" s="1"/>
  <c r="B48" i="107"/>
  <c r="B53" i="107" s="1"/>
  <c r="L48" i="116"/>
  <c r="L53" i="116" s="1"/>
  <c r="J48" i="19"/>
  <c r="J53" i="19" s="1"/>
  <c r="L50" i="111"/>
  <c r="L51" i="111"/>
  <c r="N53" i="13"/>
  <c r="K27" i="116"/>
  <c r="K47" i="116" s="1"/>
  <c r="K55" i="116" s="1"/>
  <c r="L50" i="116"/>
  <c r="L52" i="116"/>
  <c r="L51" i="116"/>
  <c r="L55" i="116"/>
  <c r="L48" i="19"/>
  <c r="K48" i="19"/>
  <c r="K53" i="19" s="1"/>
  <c r="K26" i="111"/>
  <c r="K27" i="111" s="1"/>
  <c r="K47" i="111" s="1"/>
  <c r="L55" i="111"/>
  <c r="L52" i="111"/>
  <c r="L53" i="13"/>
  <c r="E48" i="105"/>
  <c r="E53" i="105" s="1"/>
  <c r="D48" i="105"/>
  <c r="D53" i="105" s="1"/>
  <c r="I48" i="105"/>
  <c r="I53" i="105" s="1"/>
  <c r="H48" i="105"/>
  <c r="H53" i="105" s="1"/>
  <c r="G48" i="105"/>
  <c r="G53" i="105" s="1"/>
  <c r="F48" i="105"/>
  <c r="F53" i="105" s="1"/>
  <c r="C48" i="105"/>
  <c r="C53" i="105" s="1"/>
  <c r="B48" i="105"/>
  <c r="B53" i="105" s="1"/>
  <c r="R51" i="27"/>
  <c r="R52" i="27"/>
  <c r="R50" i="27"/>
  <c r="P52" i="27"/>
  <c r="P50" i="27"/>
  <c r="P51" i="27"/>
  <c r="S52" i="27"/>
  <c r="S50" i="27"/>
  <c r="S51" i="27"/>
  <c r="T52" i="27"/>
  <c r="T50" i="27"/>
  <c r="T51" i="27"/>
  <c r="M51" i="111"/>
  <c r="N51" i="111"/>
  <c r="M52" i="111"/>
  <c r="N52" i="111"/>
  <c r="M55" i="111"/>
  <c r="N55" i="111"/>
  <c r="O37" i="57"/>
  <c r="O34" i="57"/>
  <c r="R52" i="19"/>
  <c r="N22" i="19"/>
  <c r="N17" i="19"/>
  <c r="S51" i="19"/>
  <c r="S52" i="19"/>
  <c r="S50" i="19"/>
  <c r="R51" i="19"/>
  <c r="Q37" i="19"/>
  <c r="Q48" i="19" s="1"/>
  <c r="Q53" i="19" s="1"/>
  <c r="P35" i="19"/>
  <c r="P37" i="19" s="1"/>
  <c r="V51" i="19"/>
  <c r="V52" i="19"/>
  <c r="V50" i="19"/>
  <c r="T52" i="19"/>
  <c r="T50" i="19"/>
  <c r="T51" i="19"/>
  <c r="P24" i="19"/>
  <c r="P29" i="19"/>
  <c r="O29" i="19"/>
  <c r="O24" i="19"/>
  <c r="N51" i="116"/>
  <c r="N55" i="116"/>
  <c r="M52" i="116"/>
  <c r="M51" i="116"/>
  <c r="N52" i="116"/>
  <c r="M55" i="116"/>
  <c r="B53" i="85"/>
  <c r="F24" i="85"/>
  <c r="F27" i="85" s="1"/>
  <c r="B24" i="85"/>
  <c r="B27" i="85" s="1"/>
  <c r="D24" i="85"/>
  <c r="D27" i="85" s="1"/>
  <c r="Y55" i="76"/>
  <c r="X55" i="76"/>
  <c r="W55" i="76"/>
  <c r="V55" i="76"/>
  <c r="U55" i="76"/>
  <c r="T55" i="76"/>
  <c r="S55" i="76"/>
  <c r="R47" i="76"/>
  <c r="P47" i="76"/>
  <c r="P50" i="76" s="1"/>
  <c r="O47" i="76"/>
  <c r="O50" i="76" s="1"/>
  <c r="N47" i="76"/>
  <c r="V46" i="76"/>
  <c r="U46" i="76"/>
  <c r="T46" i="76"/>
  <c r="S46" i="76"/>
  <c r="R46" i="76"/>
  <c r="Q46" i="76"/>
  <c r="P46" i="76"/>
  <c r="R42" i="76"/>
  <c r="Q42" i="76"/>
  <c r="P42" i="76"/>
  <c r="O42" i="76"/>
  <c r="N42" i="76"/>
  <c r="M42" i="76" s="1"/>
  <c r="L42" i="76" s="1"/>
  <c r="R41" i="76"/>
  <c r="R52" i="76" s="1"/>
  <c r="Q41" i="76"/>
  <c r="P41" i="76"/>
  <c r="O41" i="76"/>
  <c r="N41" i="76"/>
  <c r="M41" i="76"/>
  <c r="Q40" i="76"/>
  <c r="W37" i="76"/>
  <c r="V37" i="76"/>
  <c r="U37" i="76"/>
  <c r="T37" i="76"/>
  <c r="S37" i="76"/>
  <c r="R37" i="76"/>
  <c r="Q37" i="76"/>
  <c r="P37" i="76"/>
  <c r="O37" i="76"/>
  <c r="N37" i="76"/>
  <c r="K48" i="76" s="1"/>
  <c r="K53" i="76" s="1"/>
  <c r="W32" i="76"/>
  <c r="V32" i="76"/>
  <c r="U32" i="76"/>
  <c r="T32" i="76"/>
  <c r="S32" i="76"/>
  <c r="R32" i="76"/>
  <c r="P32" i="76"/>
  <c r="O32" i="76"/>
  <c r="N32" i="76" s="1"/>
  <c r="M32" i="76" s="1"/>
  <c r="L32" i="76" s="1"/>
  <c r="N26" i="76"/>
  <c r="O24" i="76"/>
  <c r="Y22" i="76"/>
  <c r="Y29" i="76" s="1"/>
  <c r="X22" i="76"/>
  <c r="X29" i="76" s="1"/>
  <c r="W22" i="76"/>
  <c r="W29" i="76" s="1"/>
  <c r="V22" i="76"/>
  <c r="V29" i="76" s="1"/>
  <c r="U22" i="76"/>
  <c r="U29" i="76" s="1"/>
  <c r="T22" i="76"/>
  <c r="T29" i="76" s="1"/>
  <c r="S22" i="76"/>
  <c r="S29" i="76" s="1"/>
  <c r="R22" i="76"/>
  <c r="R29" i="76" s="1"/>
  <c r="Q22" i="76"/>
  <c r="Q29" i="76" s="1"/>
  <c r="P22" i="76"/>
  <c r="N22" i="76"/>
  <c r="N29" i="76" s="1"/>
  <c r="M22" i="76"/>
  <c r="Y17" i="76"/>
  <c r="X17" i="76"/>
  <c r="W17" i="76"/>
  <c r="V17" i="76"/>
  <c r="U17" i="76"/>
  <c r="T17" i="76"/>
  <c r="S17" i="76"/>
  <c r="R17" i="76"/>
  <c r="Q17" i="76"/>
  <c r="P17" i="76"/>
  <c r="N17" i="76"/>
  <c r="M17" i="76"/>
  <c r="U13" i="76"/>
  <c r="T13" i="76"/>
  <c r="S13" i="76"/>
  <c r="R13" i="76"/>
  <c r="Q13" i="76"/>
  <c r="P13" i="76"/>
  <c r="N13" i="76"/>
  <c r="M13" i="76"/>
  <c r="O13" i="76"/>
  <c r="W55" i="89"/>
  <c r="V55" i="89"/>
  <c r="U55" i="89"/>
  <c r="T55" i="89"/>
  <c r="S55" i="89"/>
  <c r="Q50" i="89"/>
  <c r="P48" i="89"/>
  <c r="V46" i="89"/>
  <c r="U46" i="89"/>
  <c r="T46" i="89"/>
  <c r="S46" i="89"/>
  <c r="R46" i="89"/>
  <c r="N46" i="89"/>
  <c r="R42" i="89"/>
  <c r="Q42" i="89"/>
  <c r="P42" i="89"/>
  <c r="O42" i="89"/>
  <c r="N42" i="89"/>
  <c r="M42" i="89" s="1"/>
  <c r="L42" i="89" s="1"/>
  <c r="K42" i="89" s="1"/>
  <c r="J42" i="89" s="1"/>
  <c r="I42" i="89" s="1"/>
  <c r="R41" i="89"/>
  <c r="Q41" i="89"/>
  <c r="Q52" i="89" s="1"/>
  <c r="P40" i="89"/>
  <c r="O40" i="89" s="1"/>
  <c r="N39" i="89"/>
  <c r="M39" i="89" s="1"/>
  <c r="W37" i="89"/>
  <c r="U37" i="89"/>
  <c r="T37" i="89"/>
  <c r="S37" i="89"/>
  <c r="O37" i="89"/>
  <c r="V36" i="89"/>
  <c r="V37" i="89" s="1"/>
  <c r="R36" i="89"/>
  <c r="R37" i="89" s="1"/>
  <c r="Q35" i="89"/>
  <c r="S32" i="89"/>
  <c r="L32" i="89"/>
  <c r="S31" i="89"/>
  <c r="M31" i="89"/>
  <c r="S30" i="89"/>
  <c r="O30" i="89"/>
  <c r="M30" i="89"/>
  <c r="W29" i="89"/>
  <c r="V29" i="89"/>
  <c r="U29" i="89"/>
  <c r="T29" i="89"/>
  <c r="S29" i="89"/>
  <c r="R29" i="89"/>
  <c r="Q29" i="89"/>
  <c r="T26" i="89"/>
  <c r="S26" i="89"/>
  <c r="R26" i="89"/>
  <c r="T24" i="89"/>
  <c r="S24" i="89"/>
  <c r="R24" i="89"/>
  <c r="Q24" i="89"/>
  <c r="Q27" i="89" s="1"/>
  <c r="P22" i="89"/>
  <c r="P24" i="89" s="1"/>
  <c r="P27" i="89" s="1"/>
  <c r="O22" i="89"/>
  <c r="N22" i="89"/>
  <c r="N29" i="89" s="1"/>
  <c r="M22" i="89"/>
  <c r="W21" i="89"/>
  <c r="V21" i="89"/>
  <c r="U21" i="89"/>
  <c r="T21" i="89"/>
  <c r="S21" i="89"/>
  <c r="R21" i="89"/>
  <c r="Q21" i="89"/>
  <c r="W17" i="89"/>
  <c r="V17" i="89"/>
  <c r="U17" i="89"/>
  <c r="T17" i="89"/>
  <c r="S17" i="89"/>
  <c r="R17" i="89"/>
  <c r="Q17" i="89"/>
  <c r="O17" i="89"/>
  <c r="N17" i="89"/>
  <c r="M17" i="89"/>
  <c r="S13" i="89"/>
  <c r="R13" i="89"/>
  <c r="Q13" i="89"/>
  <c r="O13" i="89"/>
  <c r="N13" i="89"/>
  <c r="M13" i="89"/>
  <c r="P12" i="89"/>
  <c r="O55" i="58"/>
  <c r="N55" i="58"/>
  <c r="M55" i="58"/>
  <c r="L55" i="58"/>
  <c r="O40" i="58"/>
  <c r="O41" i="58" s="1"/>
  <c r="N40" i="58"/>
  <c r="N41" i="58" s="1"/>
  <c r="M50" i="58"/>
  <c r="Q22" i="58"/>
  <c r="P22" i="58"/>
  <c r="O22" i="58"/>
  <c r="N22" i="58"/>
  <c r="N29" i="58" s="1"/>
  <c r="M22" i="58"/>
  <c r="M29" i="58" s="1"/>
  <c r="L22" i="58"/>
  <c r="Q17" i="58"/>
  <c r="P17" i="58"/>
  <c r="M17" i="58"/>
  <c r="L17" i="58"/>
  <c r="M13" i="58"/>
  <c r="L13" i="58"/>
  <c r="R12" i="58"/>
  <c r="R17" i="58" s="1"/>
  <c r="O12" i="58"/>
  <c r="P10" i="58"/>
  <c r="Q10" i="58" s="1"/>
  <c r="R10" i="58" s="1"/>
  <c r="W55" i="113"/>
  <c r="V55" i="113"/>
  <c r="U55" i="113"/>
  <c r="T55" i="113"/>
  <c r="S55" i="113"/>
  <c r="R55" i="113"/>
  <c r="Q55" i="113"/>
  <c r="P55" i="113"/>
  <c r="O50" i="113"/>
  <c r="N46" i="113"/>
  <c r="N44" i="113"/>
  <c r="O42" i="113"/>
  <c r="O41" i="113"/>
  <c r="N41" i="113" s="1"/>
  <c r="M41" i="113"/>
  <c r="N40" i="113"/>
  <c r="N39" i="113"/>
  <c r="Q37" i="113"/>
  <c r="N37" i="113"/>
  <c r="M37" i="113"/>
  <c r="V36" i="113"/>
  <c r="U36" i="113"/>
  <c r="T36" i="113"/>
  <c r="S36" i="113"/>
  <c r="V35" i="113"/>
  <c r="U35" i="113"/>
  <c r="T35" i="113"/>
  <c r="S35" i="113"/>
  <c r="R35" i="113"/>
  <c r="R37" i="113" s="1"/>
  <c r="BB32" i="113"/>
  <c r="BA32" i="113"/>
  <c r="AZ32" i="113"/>
  <c r="AX32" i="113"/>
  <c r="AW32" i="113"/>
  <c r="AV32" i="113"/>
  <c r="AU32" i="113"/>
  <c r="AT32" i="113"/>
  <c r="AS32" i="113"/>
  <c r="AR32" i="113"/>
  <c r="AQ32" i="113"/>
  <c r="AP32" i="113"/>
  <c r="AO32" i="113"/>
  <c r="AN32" i="113"/>
  <c r="AM32" i="113"/>
  <c r="AL32" i="113"/>
  <c r="AK32" i="113"/>
  <c r="AJ32" i="113"/>
  <c r="AI32" i="113"/>
  <c r="AH32" i="113"/>
  <c r="AG32" i="113"/>
  <c r="AF32" i="113"/>
  <c r="AE32" i="113"/>
  <c r="R32" i="113"/>
  <c r="N32" i="113"/>
  <c r="V31" i="113"/>
  <c r="U31" i="113"/>
  <c r="T31" i="113"/>
  <c r="S31" i="113"/>
  <c r="V30" i="113"/>
  <c r="U30" i="113"/>
  <c r="T30" i="113"/>
  <c r="S30" i="113"/>
  <c r="W22" i="113"/>
  <c r="W29" i="113" s="1"/>
  <c r="S22" i="113"/>
  <c r="S29" i="113" s="1"/>
  <c r="R22" i="113"/>
  <c r="R29" i="113" s="1"/>
  <c r="Q22" i="113"/>
  <c r="Q29" i="113" s="1"/>
  <c r="O22" i="113"/>
  <c r="N22" i="113"/>
  <c r="M22" i="113"/>
  <c r="W17" i="113"/>
  <c r="S17" i="113"/>
  <c r="R17" i="113"/>
  <c r="O17" i="113"/>
  <c r="N17" i="113"/>
  <c r="M17" i="113"/>
  <c r="V16" i="113"/>
  <c r="V22" i="113" s="1"/>
  <c r="V29" i="113" s="1"/>
  <c r="O13" i="113"/>
  <c r="N13" i="113"/>
  <c r="V12" i="113"/>
  <c r="R13" i="113" s="1"/>
  <c r="Q12" i="113"/>
  <c r="AF10" i="113"/>
  <c r="AG10" i="113" s="1"/>
  <c r="AH10" i="113" s="1"/>
  <c r="AI10" i="113" s="1"/>
  <c r="AJ10" i="113" s="1"/>
  <c r="AK10" i="113" s="1"/>
  <c r="AL10" i="113" s="1"/>
  <c r="AM10" i="113" s="1"/>
  <c r="AN10" i="113" s="1"/>
  <c r="AO10" i="113" s="1"/>
  <c r="AP10" i="113" s="1"/>
  <c r="AQ10" i="113" s="1"/>
  <c r="AR10" i="113" s="1"/>
  <c r="AS10" i="113" s="1"/>
  <c r="AT10" i="113" s="1"/>
  <c r="AU10" i="113" s="1"/>
  <c r="AV10" i="113" s="1"/>
  <c r="AW10" i="113" s="1"/>
  <c r="AX10" i="113" s="1"/>
  <c r="AY10" i="113" s="1"/>
  <c r="AZ10" i="113" s="1"/>
  <c r="BA10" i="113" s="1"/>
  <c r="BB10" i="113" s="1"/>
  <c r="P10" i="113"/>
  <c r="Q10" i="113" s="1"/>
  <c r="R10" i="113" s="1"/>
  <c r="S10" i="113" s="1"/>
  <c r="T10" i="113" s="1"/>
  <c r="U10" i="113" s="1"/>
  <c r="V10" i="113" s="1"/>
  <c r="W10" i="113" s="1"/>
  <c r="J43" i="1"/>
  <c r="O43" i="1"/>
  <c r="C43" i="1"/>
  <c r="U32" i="113" l="1"/>
  <c r="H55" i="116"/>
  <c r="G42" i="116"/>
  <c r="R55" i="76"/>
  <c r="P52" i="76"/>
  <c r="K48" i="116"/>
  <c r="K53" i="116" s="1"/>
  <c r="U12" i="113"/>
  <c r="T12" i="113" s="1"/>
  <c r="Q46" i="113" s="1"/>
  <c r="U16" i="113"/>
  <c r="U22" i="113" s="1"/>
  <c r="U29" i="113" s="1"/>
  <c r="S32" i="113"/>
  <c r="R48" i="76"/>
  <c r="R53" i="76" s="1"/>
  <c r="T32" i="113"/>
  <c r="O24" i="58"/>
  <c r="O27" i="58" s="1"/>
  <c r="N48" i="19"/>
  <c r="O25" i="19"/>
  <c r="O27" i="19" s="1"/>
  <c r="O47" i="19" s="1"/>
  <c r="H42" i="89"/>
  <c r="I55" i="89"/>
  <c r="L24" i="19"/>
  <c r="L25" i="19" s="1"/>
  <c r="K24" i="19"/>
  <c r="K25" i="19" s="1"/>
  <c r="K27" i="19" s="1"/>
  <c r="K47" i="19" s="1"/>
  <c r="K50" i="19" s="1"/>
  <c r="M48" i="19"/>
  <c r="N51" i="76"/>
  <c r="P48" i="19"/>
  <c r="O48" i="19"/>
  <c r="H48" i="107"/>
  <c r="H53" i="107" s="1"/>
  <c r="G48" i="107"/>
  <c r="G53" i="107" s="1"/>
  <c r="M13" i="113"/>
  <c r="P12" i="113"/>
  <c r="L13" i="113" s="1"/>
  <c r="P25" i="19"/>
  <c r="P27" i="19" s="1"/>
  <c r="P47" i="19" s="1"/>
  <c r="L55" i="76"/>
  <c r="K42" i="76"/>
  <c r="O55" i="113"/>
  <c r="M29" i="113"/>
  <c r="J24" i="113"/>
  <c r="J25" i="113" s="1"/>
  <c r="J27" i="113" s="1"/>
  <c r="J47" i="113" s="1"/>
  <c r="K48" i="113"/>
  <c r="K53" i="113" s="1"/>
  <c r="J48" i="113"/>
  <c r="J53" i="113" s="1"/>
  <c r="V37" i="113"/>
  <c r="N13" i="58"/>
  <c r="O24" i="89"/>
  <c r="T27" i="89"/>
  <c r="T47" i="89" s="1"/>
  <c r="R48" i="89"/>
  <c r="R53" i="89" s="1"/>
  <c r="V48" i="76"/>
  <c r="I24" i="58"/>
  <c r="L29" i="58"/>
  <c r="K52" i="19"/>
  <c r="J50" i="19"/>
  <c r="J51" i="19"/>
  <c r="J52" i="19"/>
  <c r="K24" i="89"/>
  <c r="K25" i="89" s="1"/>
  <c r="K27" i="89" s="1"/>
  <c r="K47" i="89" s="1"/>
  <c r="J24" i="89"/>
  <c r="M29" i="76"/>
  <c r="K50" i="111"/>
  <c r="K51" i="111"/>
  <c r="K51" i="116"/>
  <c r="K50" i="116"/>
  <c r="K52" i="116"/>
  <c r="L30" i="89"/>
  <c r="L31" i="89"/>
  <c r="Q36" i="89"/>
  <c r="P36" i="89" s="1"/>
  <c r="M46" i="89"/>
  <c r="L13" i="89"/>
  <c r="P35" i="89"/>
  <c r="O48" i="89"/>
  <c r="M37" i="89"/>
  <c r="L35" i="89"/>
  <c r="N37" i="89"/>
  <c r="L36" i="89"/>
  <c r="S48" i="89"/>
  <c r="O46" i="58"/>
  <c r="K13" i="58"/>
  <c r="J24" i="58"/>
  <c r="K24" i="58"/>
  <c r="N46" i="58"/>
  <c r="J13" i="58"/>
  <c r="J46" i="58"/>
  <c r="I46" i="58" s="1"/>
  <c r="H46" i="58" s="1"/>
  <c r="G46" i="58" s="1"/>
  <c r="F46" i="58" s="1"/>
  <c r="E46" i="58" s="1"/>
  <c r="D46" i="58" s="1"/>
  <c r="M24" i="58"/>
  <c r="M27" i="58" s="1"/>
  <c r="O25" i="89"/>
  <c r="O27" i="89" s="1"/>
  <c r="M29" i="89"/>
  <c r="L24" i="89"/>
  <c r="L25" i="89" s="1"/>
  <c r="L27" i="89" s="1"/>
  <c r="L47" i="89" s="1"/>
  <c r="K55" i="111"/>
  <c r="K52" i="111"/>
  <c r="N29" i="113"/>
  <c r="K24" i="113"/>
  <c r="O29" i="113"/>
  <c r="L24" i="113"/>
  <c r="L27" i="19"/>
  <c r="L47" i="19" s="1"/>
  <c r="P29" i="76"/>
  <c r="U48" i="76"/>
  <c r="L48" i="76"/>
  <c r="L53" i="76" s="1"/>
  <c r="M48" i="76"/>
  <c r="M53" i="76" s="1"/>
  <c r="O48" i="76"/>
  <c r="O53" i="76" s="1"/>
  <c r="O48" i="57"/>
  <c r="O53" i="57" s="1"/>
  <c r="N48" i="57"/>
  <c r="N53" i="57" s="1"/>
  <c r="M48" i="57"/>
  <c r="M53" i="57" s="1"/>
  <c r="L48" i="57"/>
  <c r="L53" i="57" s="1"/>
  <c r="N29" i="19"/>
  <c r="N24" i="19"/>
  <c r="M24" i="19"/>
  <c r="M25" i="19" s="1"/>
  <c r="P53" i="19"/>
  <c r="F53" i="107"/>
  <c r="E53" i="107"/>
  <c r="B50" i="85"/>
  <c r="B52" i="85"/>
  <c r="B51" i="85"/>
  <c r="N52" i="76"/>
  <c r="P55" i="76"/>
  <c r="O17" i="76"/>
  <c r="N48" i="113"/>
  <c r="N53" i="113" s="1"/>
  <c r="N24" i="58"/>
  <c r="N27" i="58" s="1"/>
  <c r="N48" i="76"/>
  <c r="N53" i="76" s="1"/>
  <c r="N55" i="76"/>
  <c r="R51" i="76"/>
  <c r="Q17" i="113"/>
  <c r="S37" i="113"/>
  <c r="T48" i="89"/>
  <c r="Q48" i="76"/>
  <c r="Q53" i="76" s="1"/>
  <c r="O55" i="76"/>
  <c r="T37" i="113"/>
  <c r="V32" i="113"/>
  <c r="U37" i="113"/>
  <c r="N42" i="113"/>
  <c r="M42" i="113" s="1"/>
  <c r="L42" i="113" s="1"/>
  <c r="K42" i="113" s="1"/>
  <c r="J42" i="113" s="1"/>
  <c r="L24" i="58"/>
  <c r="L27" i="58" s="1"/>
  <c r="R27" i="89"/>
  <c r="R47" i="89" s="1"/>
  <c r="R50" i="89" s="1"/>
  <c r="Q55" i="89"/>
  <c r="S48" i="76"/>
  <c r="O51" i="76"/>
  <c r="S27" i="89"/>
  <c r="S47" i="89" s="1"/>
  <c r="O37" i="113"/>
  <c r="L48" i="113" s="1"/>
  <c r="L53" i="113" s="1"/>
  <c r="O50" i="58"/>
  <c r="P37" i="113"/>
  <c r="P17" i="89"/>
  <c r="O22" i="76"/>
  <c r="O29" i="76" s="1"/>
  <c r="Q24" i="76"/>
  <c r="Q27" i="76" s="1"/>
  <c r="Q47" i="76" s="1"/>
  <c r="Q52" i="76" s="1"/>
  <c r="U24" i="76"/>
  <c r="U27" i="76" s="1"/>
  <c r="U47" i="76" s="1"/>
  <c r="P48" i="76"/>
  <c r="P53" i="76" s="1"/>
  <c r="T48" i="76"/>
  <c r="N50" i="76"/>
  <c r="R50" i="76"/>
  <c r="P51" i="76"/>
  <c r="R24" i="76"/>
  <c r="R25" i="76" s="1"/>
  <c r="V24" i="76"/>
  <c r="V27" i="76" s="1"/>
  <c r="V47" i="76" s="1"/>
  <c r="O52" i="76"/>
  <c r="S24" i="76"/>
  <c r="S27" i="76" s="1"/>
  <c r="S47" i="76" s="1"/>
  <c r="P24" i="76"/>
  <c r="P26" i="76" s="1"/>
  <c r="T24" i="76"/>
  <c r="T27" i="76" s="1"/>
  <c r="T47" i="76" s="1"/>
  <c r="O41" i="89"/>
  <c r="N40" i="89"/>
  <c r="O50" i="89"/>
  <c r="O29" i="89"/>
  <c r="P41" i="89"/>
  <c r="M24" i="89"/>
  <c r="P13" i="89"/>
  <c r="N24" i="89"/>
  <c r="Q51" i="89"/>
  <c r="Q53" i="89"/>
  <c r="P29" i="89"/>
  <c r="P50" i="89"/>
  <c r="N52" i="58"/>
  <c r="N51" i="58"/>
  <c r="O51" i="58"/>
  <c r="O52" i="58"/>
  <c r="O17" i="58"/>
  <c r="N17" i="58"/>
  <c r="L50" i="58"/>
  <c r="N50" i="58"/>
  <c r="M41" i="58"/>
  <c r="M46" i="58"/>
  <c r="L46" i="58" s="1"/>
  <c r="O53" i="113"/>
  <c r="V17" i="113"/>
  <c r="M46" i="113"/>
  <c r="O52" i="113"/>
  <c r="Q13" i="113"/>
  <c r="O51" i="113"/>
  <c r="P22" i="113"/>
  <c r="C92" i="1"/>
  <c r="J48" i="116" l="1"/>
  <c r="O53" i="89"/>
  <c r="U17" i="113"/>
  <c r="T16" i="113"/>
  <c r="H55" i="89"/>
  <c r="G42" i="89"/>
  <c r="F42" i="116"/>
  <c r="G55" i="116"/>
  <c r="P37" i="89"/>
  <c r="M48" i="113"/>
  <c r="M53" i="113" s="1"/>
  <c r="Q37" i="89"/>
  <c r="Q48" i="113"/>
  <c r="P51" i="19"/>
  <c r="P50" i="19"/>
  <c r="P52" i="19"/>
  <c r="O50" i="19"/>
  <c r="O52" i="19"/>
  <c r="O51" i="19"/>
  <c r="J50" i="113"/>
  <c r="J52" i="113"/>
  <c r="J51" i="113"/>
  <c r="K25" i="58"/>
  <c r="K27" i="58" s="1"/>
  <c r="K47" i="58" s="1"/>
  <c r="K51" i="19"/>
  <c r="J42" i="76"/>
  <c r="K55" i="76"/>
  <c r="I42" i="113"/>
  <c r="J55" i="113"/>
  <c r="P48" i="113"/>
  <c r="N25" i="19"/>
  <c r="N27" i="19" s="1"/>
  <c r="N47" i="19" s="1"/>
  <c r="J25" i="58"/>
  <c r="J27" i="58" s="1"/>
  <c r="J47" i="58" s="1"/>
  <c r="I25" i="58"/>
  <c r="I27" i="58" s="1"/>
  <c r="I47" i="58" s="1"/>
  <c r="J53" i="116"/>
  <c r="I48" i="116"/>
  <c r="J25" i="89"/>
  <c r="J27" i="89" s="1"/>
  <c r="J47" i="89" s="1"/>
  <c r="K51" i="89"/>
  <c r="K50" i="89"/>
  <c r="K52" i="89"/>
  <c r="K55" i="89"/>
  <c r="L37" i="89"/>
  <c r="I48" i="89" s="1"/>
  <c r="I53" i="89" s="1"/>
  <c r="J48" i="89"/>
  <c r="J53" i="89" s="1"/>
  <c r="N48" i="89"/>
  <c r="M48" i="89" s="1"/>
  <c r="N25" i="89"/>
  <c r="N27" i="89" s="1"/>
  <c r="L50" i="89"/>
  <c r="L51" i="89"/>
  <c r="L55" i="89"/>
  <c r="L52" i="89"/>
  <c r="M25" i="89"/>
  <c r="M27" i="89" s="1"/>
  <c r="M47" i="89" s="1"/>
  <c r="O24" i="113"/>
  <c r="O27" i="113" s="1"/>
  <c r="K25" i="113"/>
  <c r="K27" i="113" s="1"/>
  <c r="K47" i="113" s="1"/>
  <c r="L25" i="113"/>
  <c r="L27" i="113" s="1"/>
  <c r="L47" i="113" s="1"/>
  <c r="L52" i="19"/>
  <c r="L50" i="19"/>
  <c r="L51" i="19"/>
  <c r="O53" i="19"/>
  <c r="M27" i="19"/>
  <c r="M47" i="19" s="1"/>
  <c r="R55" i="89"/>
  <c r="R51" i="89"/>
  <c r="R52" i="89"/>
  <c r="Q50" i="76"/>
  <c r="Q51" i="76"/>
  <c r="Q55" i="76"/>
  <c r="P52" i="89"/>
  <c r="P53" i="89"/>
  <c r="P51" i="89"/>
  <c r="N41" i="89"/>
  <c r="M40" i="89"/>
  <c r="M41" i="89" s="1"/>
  <c r="O51" i="89"/>
  <c r="O52" i="89"/>
  <c r="O55" i="89"/>
  <c r="N50" i="89"/>
  <c r="P55" i="89"/>
  <c r="M52" i="58"/>
  <c r="M51" i="58"/>
  <c r="P29" i="113"/>
  <c r="P24" i="113"/>
  <c r="P27" i="113" s="1"/>
  <c r="P47" i="113" s="1"/>
  <c r="T17" i="113"/>
  <c r="T22" i="113"/>
  <c r="P46" i="113"/>
  <c r="P13" i="113"/>
  <c r="M24" i="113"/>
  <c r="N24" i="113"/>
  <c r="S46" i="113"/>
  <c r="R46" i="113"/>
  <c r="P17" i="113"/>
  <c r="E43" i="1"/>
  <c r="F43" i="1"/>
  <c r="E42" i="116" l="1"/>
  <c r="F55" i="116"/>
  <c r="F42" i="89"/>
  <c r="G55" i="89"/>
  <c r="K48" i="89"/>
  <c r="K53" i="89" s="1"/>
  <c r="N52" i="19"/>
  <c r="N51" i="19"/>
  <c r="N50" i="19"/>
  <c r="H42" i="113"/>
  <c r="I55" i="113"/>
  <c r="I42" i="76"/>
  <c r="J55" i="76"/>
  <c r="L48" i="89"/>
  <c r="L53" i="89" s="1"/>
  <c r="J52" i="58"/>
  <c r="J50" i="58"/>
  <c r="J51" i="58"/>
  <c r="I50" i="58"/>
  <c r="I52" i="58"/>
  <c r="I51" i="58"/>
  <c r="I53" i="116"/>
  <c r="H53" i="116"/>
  <c r="J50" i="89"/>
  <c r="J55" i="89"/>
  <c r="J51" i="89"/>
  <c r="J52" i="89"/>
  <c r="K52" i="58"/>
  <c r="K51" i="58"/>
  <c r="K50" i="58"/>
  <c r="K50" i="113"/>
  <c r="K55" i="113"/>
  <c r="K51" i="113"/>
  <c r="K52" i="113"/>
  <c r="L55" i="113"/>
  <c r="L51" i="113"/>
  <c r="L50" i="113"/>
  <c r="L52" i="113"/>
  <c r="M50" i="19"/>
  <c r="M51" i="19"/>
  <c r="M52" i="19"/>
  <c r="N53" i="19"/>
  <c r="M52" i="89"/>
  <c r="M51" i="89"/>
  <c r="M55" i="89"/>
  <c r="N51" i="89"/>
  <c r="N52" i="89"/>
  <c r="N53" i="89"/>
  <c r="N55" i="89"/>
  <c r="M53" i="89"/>
  <c r="M50" i="89"/>
  <c r="L52" i="58"/>
  <c r="L51" i="58"/>
  <c r="T29" i="113"/>
  <c r="R24" i="113"/>
  <c r="R27" i="113" s="1"/>
  <c r="R47" i="113" s="1"/>
  <c r="S24" i="113"/>
  <c r="S27" i="113" s="1"/>
  <c r="S47" i="113" s="1"/>
  <c r="Q24" i="113"/>
  <c r="Q27" i="113" s="1"/>
  <c r="Q47" i="113" s="1"/>
  <c r="N25" i="113"/>
  <c r="N27" i="113" s="1"/>
  <c r="N47" i="113" s="1"/>
  <c r="M25" i="113"/>
  <c r="M27" i="113" s="1"/>
  <c r="M47" i="113" s="1"/>
  <c r="E55" i="116" l="1"/>
  <c r="D42" i="116"/>
  <c r="E42" i="89"/>
  <c r="F55" i="89"/>
  <c r="H55" i="113"/>
  <c r="G42" i="113"/>
  <c r="G55" i="113" s="1"/>
  <c r="H42" i="76"/>
  <c r="I55" i="76"/>
  <c r="M53" i="19"/>
  <c r="L53" i="19"/>
  <c r="M50" i="113"/>
  <c r="M51" i="113"/>
  <c r="M52" i="113"/>
  <c r="M55" i="113"/>
  <c r="N50" i="113"/>
  <c r="N55" i="113"/>
  <c r="N52" i="113"/>
  <c r="N51" i="113"/>
  <c r="C42" i="116" l="1"/>
  <c r="C55" i="116" s="1"/>
  <c r="D55" i="116"/>
  <c r="E55" i="89"/>
  <c r="D42" i="89"/>
  <c r="G42" i="76"/>
  <c r="H55" i="76"/>
  <c r="N55" i="2"/>
  <c r="M55" i="2"/>
  <c r="L55" i="2"/>
  <c r="K55" i="2"/>
  <c r="J55" i="2"/>
  <c r="I55" i="2"/>
  <c r="H55" i="2"/>
  <c r="G55" i="2"/>
  <c r="F55" i="2"/>
  <c r="E55" i="2"/>
  <c r="D55" i="2"/>
  <c r="C55" i="2"/>
  <c r="B55" i="2"/>
  <c r="D46" i="2"/>
  <c r="C46" i="2"/>
  <c r="B46" i="2"/>
  <c r="K40" i="2"/>
  <c r="K41" i="2" s="1"/>
  <c r="J40" i="2"/>
  <c r="J41" i="2" s="1"/>
  <c r="I40" i="2"/>
  <c r="I41" i="2" s="1"/>
  <c r="H40" i="2"/>
  <c r="H41" i="2" s="1"/>
  <c r="G40" i="2"/>
  <c r="G41" i="2" s="1"/>
  <c r="F40" i="2"/>
  <c r="F41" i="2" s="1"/>
  <c r="E40" i="2"/>
  <c r="E41" i="2" s="1"/>
  <c r="D40" i="2"/>
  <c r="D41" i="2" s="1"/>
  <c r="C40" i="2"/>
  <c r="C50" i="2" s="1"/>
  <c r="B40" i="2"/>
  <c r="B50" i="2" s="1"/>
  <c r="L37" i="2"/>
  <c r="H37" i="2"/>
  <c r="D37" i="2"/>
  <c r="N36" i="2"/>
  <c r="M36" i="2"/>
  <c r="K36" i="2"/>
  <c r="J36" i="2" s="1"/>
  <c r="G36" i="2"/>
  <c r="C36" i="2"/>
  <c r="B36" i="2" s="1"/>
  <c r="N35" i="2"/>
  <c r="M35" i="2"/>
  <c r="K35" i="2"/>
  <c r="J35" i="2" s="1"/>
  <c r="G35" i="2"/>
  <c r="F35" i="2" s="1"/>
  <c r="C35" i="2"/>
  <c r="B35" i="2" s="1"/>
  <c r="N32" i="2"/>
  <c r="M32" i="2"/>
  <c r="L32" i="2"/>
  <c r="K32" i="2"/>
  <c r="H32" i="2"/>
  <c r="G32" i="2" s="1"/>
  <c r="D32" i="2"/>
  <c r="C32" i="2" s="1"/>
  <c r="B32" i="2" s="1"/>
  <c r="N31" i="2"/>
  <c r="M31" i="2"/>
  <c r="K31" i="2"/>
  <c r="J31" i="2" s="1"/>
  <c r="I31" i="2" s="1"/>
  <c r="G31" i="2"/>
  <c r="F31" i="2" s="1"/>
  <c r="E31" i="2" s="1"/>
  <c r="B31" i="2"/>
  <c r="N30" i="2"/>
  <c r="M30" i="2"/>
  <c r="K30" i="2"/>
  <c r="J30" i="2" s="1"/>
  <c r="I30" i="2" s="1"/>
  <c r="G30" i="2"/>
  <c r="F30" i="2" s="1"/>
  <c r="E30" i="2" s="1"/>
  <c r="B30" i="2"/>
  <c r="F27" i="2"/>
  <c r="F47" i="2" s="1"/>
  <c r="E27" i="2"/>
  <c r="E47" i="2" s="1"/>
  <c r="D27" i="2"/>
  <c r="D47" i="2" s="1"/>
  <c r="D50" i="2" s="1"/>
  <c r="C27" i="2"/>
  <c r="B27" i="2"/>
  <c r="N22" i="2"/>
  <c r="N29" i="2" s="1"/>
  <c r="M22" i="2"/>
  <c r="M29" i="2" s="1"/>
  <c r="L22" i="2"/>
  <c r="L29" i="2" s="1"/>
  <c r="K22" i="2"/>
  <c r="J22" i="2"/>
  <c r="I22" i="2"/>
  <c r="I29" i="2" s="1"/>
  <c r="H22" i="2"/>
  <c r="H29" i="2" s="1"/>
  <c r="G22" i="2"/>
  <c r="F22" i="2"/>
  <c r="F29" i="2" s="1"/>
  <c r="E22" i="2"/>
  <c r="E29" i="2" s="1"/>
  <c r="D22" i="2"/>
  <c r="D29" i="2" s="1"/>
  <c r="C22" i="2"/>
  <c r="C29" i="2" s="1"/>
  <c r="B22" i="2"/>
  <c r="B29" i="2" s="1"/>
  <c r="N17" i="2"/>
  <c r="L17" i="2"/>
  <c r="K17" i="2"/>
  <c r="J17" i="2"/>
  <c r="I17" i="2"/>
  <c r="H17" i="2"/>
  <c r="G17" i="2"/>
  <c r="F17" i="2"/>
  <c r="D17" i="2"/>
  <c r="C17" i="2"/>
  <c r="B17" i="2"/>
  <c r="J13" i="2"/>
  <c r="H13" i="2"/>
  <c r="G13" i="2"/>
  <c r="F13" i="2"/>
  <c r="D13" i="2"/>
  <c r="C13" i="2"/>
  <c r="B13" i="2"/>
  <c r="M12" i="2"/>
  <c r="J46" i="2" s="1"/>
  <c r="I12" i="2"/>
  <c r="H46" i="2" s="1"/>
  <c r="E12" i="2"/>
  <c r="E13" i="2" s="1"/>
  <c r="C42" i="89" l="1"/>
  <c r="C55" i="89" s="1"/>
  <c r="D55" i="89"/>
  <c r="G55" i="76"/>
  <c r="F42" i="76"/>
  <c r="G37" i="2"/>
  <c r="J24" i="2"/>
  <c r="J25" i="2" s="1"/>
  <c r="J27" i="2" s="1"/>
  <c r="J47" i="2" s="1"/>
  <c r="J50" i="2" s="1"/>
  <c r="E50" i="2"/>
  <c r="K24" i="2"/>
  <c r="K25" i="2" s="1"/>
  <c r="K27" i="2" s="1"/>
  <c r="K47" i="2" s="1"/>
  <c r="F50" i="2"/>
  <c r="G46" i="2"/>
  <c r="C41" i="2"/>
  <c r="C51" i="2" s="1"/>
  <c r="B37" i="2"/>
  <c r="G24" i="2"/>
  <c r="G25" i="2" s="1"/>
  <c r="G27" i="2" s="1"/>
  <c r="G47" i="2" s="1"/>
  <c r="H24" i="2"/>
  <c r="H25" i="2" s="1"/>
  <c r="H27" i="2" s="1"/>
  <c r="H47" i="2" s="1"/>
  <c r="J29" i="2"/>
  <c r="M37" i="2"/>
  <c r="J32" i="2"/>
  <c r="I32" i="2" s="1"/>
  <c r="N37" i="2"/>
  <c r="F52" i="2"/>
  <c r="F51" i="2"/>
  <c r="J37" i="2"/>
  <c r="D51" i="2"/>
  <c r="D52" i="2"/>
  <c r="E35" i="2"/>
  <c r="E52" i="2"/>
  <c r="E51" i="2"/>
  <c r="I24" i="2"/>
  <c r="E17" i="2"/>
  <c r="M17" i="2"/>
  <c r="G29" i="2"/>
  <c r="K29" i="2"/>
  <c r="I35" i="2"/>
  <c r="F36" i="2"/>
  <c r="E36" i="2" s="1"/>
  <c r="C37" i="2"/>
  <c r="K37" i="2"/>
  <c r="B41" i="2"/>
  <c r="K46" i="2"/>
  <c r="F32" i="2"/>
  <c r="E32" i="2" s="1"/>
  <c r="I36" i="2"/>
  <c r="I13" i="2"/>
  <c r="Y55" i="28"/>
  <c r="X55" i="28"/>
  <c r="W55" i="28"/>
  <c r="R50" i="28"/>
  <c r="P50" i="28"/>
  <c r="R42" i="28"/>
  <c r="Q42" i="28"/>
  <c r="M42" i="28"/>
  <c r="L42" i="28" s="1"/>
  <c r="L55" i="28" s="1"/>
  <c r="R41" i="28"/>
  <c r="R53" i="28" s="1"/>
  <c r="P41" i="28"/>
  <c r="P55" i="28" s="1"/>
  <c r="V40" i="28"/>
  <c r="V41" i="28" s="1"/>
  <c r="U40" i="28"/>
  <c r="U41" i="28" s="1"/>
  <c r="T40" i="28"/>
  <c r="T41" i="28" s="1"/>
  <c r="S40" i="28"/>
  <c r="S41" i="28" s="1"/>
  <c r="Q40" i="28"/>
  <c r="Q50" i="28" s="1"/>
  <c r="O40" i="28"/>
  <c r="O50" i="28" s="1"/>
  <c r="N40" i="28"/>
  <c r="N41" i="28" s="1"/>
  <c r="M40" i="28"/>
  <c r="M39" i="28"/>
  <c r="W37" i="28"/>
  <c r="S37" i="28"/>
  <c r="O37" i="28"/>
  <c r="N37" i="28"/>
  <c r="Y36" i="28"/>
  <c r="V36" i="28"/>
  <c r="U36" i="28" s="1"/>
  <c r="T36" i="28" s="1"/>
  <c r="R36" i="28"/>
  <c r="Q36" i="28" s="1"/>
  <c r="P36" i="28" s="1"/>
  <c r="M36" i="28"/>
  <c r="L36" i="28" s="1"/>
  <c r="Y35" i="28"/>
  <c r="V35" i="28"/>
  <c r="U35" i="28" s="1"/>
  <c r="T35" i="28" s="1"/>
  <c r="R35" i="28"/>
  <c r="M35" i="28"/>
  <c r="L35" i="28" s="1"/>
  <c r="Y32" i="28"/>
  <c r="W32" i="28"/>
  <c r="V32" i="28" s="1"/>
  <c r="U32" i="28" s="1"/>
  <c r="S32" i="28"/>
  <c r="R32" i="28" s="1"/>
  <c r="Q32" i="28" s="1"/>
  <c r="T31" i="28"/>
  <c r="T30" i="28"/>
  <c r="P30" i="28"/>
  <c r="W29" i="28"/>
  <c r="V29" i="28"/>
  <c r="U29" i="28"/>
  <c r="T29" i="28"/>
  <c r="S29" i="28"/>
  <c r="R29" i="28"/>
  <c r="T24" i="28"/>
  <c r="T27" i="28" s="1"/>
  <c r="T47" i="28" s="1"/>
  <c r="S24" i="28"/>
  <c r="S27" i="28" s="1"/>
  <c r="S47" i="28" s="1"/>
  <c r="R24" i="28"/>
  <c r="R27" i="28" s="1"/>
  <c r="Q22" i="28"/>
  <c r="Q29" i="28" s="1"/>
  <c r="P22" i="28"/>
  <c r="P29" i="28" s="1"/>
  <c r="O22" i="28"/>
  <c r="O29" i="28" s="1"/>
  <c r="N22" i="28"/>
  <c r="N29" i="28" s="1"/>
  <c r="M29" i="28"/>
  <c r="Y21" i="28"/>
  <c r="X21" i="28"/>
  <c r="Y20" i="28"/>
  <c r="X20" i="28"/>
  <c r="V20" i="28"/>
  <c r="T19" i="28"/>
  <c r="Q17" i="28"/>
  <c r="P17" i="28"/>
  <c r="O17" i="28"/>
  <c r="N17" i="28"/>
  <c r="M17" i="28"/>
  <c r="Y16" i="28"/>
  <c r="Y17" i="28" s="1"/>
  <c r="X16" i="28"/>
  <c r="W16" i="28"/>
  <c r="W21" i="28" s="1"/>
  <c r="S16" i="28"/>
  <c r="S21" i="28" s="1"/>
  <c r="U13" i="28"/>
  <c r="S13" i="28"/>
  <c r="R13" i="28"/>
  <c r="Q13" i="28"/>
  <c r="O13" i="28"/>
  <c r="N13" i="28"/>
  <c r="M13" i="28"/>
  <c r="X12" i="28"/>
  <c r="V46" i="28" s="1"/>
  <c r="T12" i="28"/>
  <c r="S46" i="28" s="1"/>
  <c r="E42" i="76" l="1"/>
  <c r="F55" i="76"/>
  <c r="Y37" i="28"/>
  <c r="S50" i="28"/>
  <c r="M50" i="28"/>
  <c r="R55" i="28"/>
  <c r="X22" i="28"/>
  <c r="U24" i="28" s="1"/>
  <c r="U27" i="28" s="1"/>
  <c r="U47" i="28" s="1"/>
  <c r="C52" i="2"/>
  <c r="N50" i="28"/>
  <c r="L37" i="28"/>
  <c r="I48" i="28" s="1"/>
  <c r="I53" i="28" s="1"/>
  <c r="Q41" i="28"/>
  <c r="Q52" i="28" s="1"/>
  <c r="K48" i="2"/>
  <c r="K53" i="2" s="1"/>
  <c r="T37" i="28"/>
  <c r="M41" i="28"/>
  <c r="M55" i="28" s="1"/>
  <c r="J48" i="2"/>
  <c r="J53" i="2" s="1"/>
  <c r="I37" i="2"/>
  <c r="G48" i="2" s="1"/>
  <c r="G53" i="2" s="1"/>
  <c r="T50" i="28"/>
  <c r="X37" i="28"/>
  <c r="P51" i="28"/>
  <c r="M37" i="28"/>
  <c r="R37" i="28"/>
  <c r="V37" i="28"/>
  <c r="U20" i="28"/>
  <c r="T20" i="28" s="1"/>
  <c r="R52" i="28"/>
  <c r="K50" i="2"/>
  <c r="K51" i="2"/>
  <c r="K52" i="2"/>
  <c r="G50" i="2"/>
  <c r="G51" i="2"/>
  <c r="G52" i="2"/>
  <c r="H50" i="2"/>
  <c r="H51" i="2"/>
  <c r="H52" i="2"/>
  <c r="B52" i="2"/>
  <c r="B51" i="2"/>
  <c r="J52" i="2"/>
  <c r="I25" i="2"/>
  <c r="I27" i="2" s="1"/>
  <c r="I47" i="2" s="1"/>
  <c r="E37" i="2"/>
  <c r="F37" i="2"/>
  <c r="J51" i="2"/>
  <c r="N51" i="28"/>
  <c r="N55" i="28"/>
  <c r="N52" i="28"/>
  <c r="T51" i="28"/>
  <c r="T55" i="28"/>
  <c r="T52" i="28"/>
  <c r="S51" i="28"/>
  <c r="M24" i="28"/>
  <c r="M27" i="28" s="1"/>
  <c r="O41" i="28"/>
  <c r="T46" i="28"/>
  <c r="P13" i="28"/>
  <c r="T13" i="28"/>
  <c r="R16" i="28"/>
  <c r="V16" i="28"/>
  <c r="S17" i="28"/>
  <c r="W17" i="28"/>
  <c r="N24" i="28"/>
  <c r="N27" i="28" s="1"/>
  <c r="Q35" i="28"/>
  <c r="U46" i="28"/>
  <c r="Q51" i="28"/>
  <c r="S52" i="28"/>
  <c r="S55" i="28"/>
  <c r="X17" i="28"/>
  <c r="Y22" i="28"/>
  <c r="Y29" i="28" s="1"/>
  <c r="O24" i="28"/>
  <c r="O27" i="28" s="1"/>
  <c r="T32" i="28"/>
  <c r="U37" i="28"/>
  <c r="R51" i="28"/>
  <c r="P52" i="28"/>
  <c r="Q24" i="28"/>
  <c r="Q27" i="28" s="1"/>
  <c r="P24" i="28"/>
  <c r="P27" i="28" s="1"/>
  <c r="S55" i="98"/>
  <c r="R55" i="98"/>
  <c r="Q55" i="98"/>
  <c r="P50" i="98"/>
  <c r="O46" i="98"/>
  <c r="N46" i="98" s="1"/>
  <c r="P41" i="98"/>
  <c r="P55" i="98" s="1"/>
  <c r="O41" i="98"/>
  <c r="M41" i="98"/>
  <c r="N40" i="98"/>
  <c r="S37" i="98"/>
  <c r="O37" i="98"/>
  <c r="R36" i="98"/>
  <c r="Q36" i="98" s="1"/>
  <c r="P36" i="98" s="1"/>
  <c r="N36" i="98"/>
  <c r="M36" i="98" s="1"/>
  <c r="L36" i="98" s="1"/>
  <c r="R35" i="98"/>
  <c r="S32" i="98"/>
  <c r="R32" i="98" s="1"/>
  <c r="Q32" i="98" s="1"/>
  <c r="P32" i="98" s="1"/>
  <c r="N27" i="98"/>
  <c r="N47" i="98" s="1"/>
  <c r="O26" i="98"/>
  <c r="O27" i="98" s="1"/>
  <c r="O47" i="98" s="1"/>
  <c r="O50" i="98" s="1"/>
  <c r="M26" i="98"/>
  <c r="M27" i="98" s="1"/>
  <c r="M47" i="98" s="1"/>
  <c r="M50" i="98" s="1"/>
  <c r="O22" i="98"/>
  <c r="O29" i="98" s="1"/>
  <c r="N22" i="98"/>
  <c r="N29" i="98" s="1"/>
  <c r="M22" i="98"/>
  <c r="O17" i="98"/>
  <c r="N17" i="98"/>
  <c r="M17" i="98"/>
  <c r="S16" i="98"/>
  <c r="O13" i="98"/>
  <c r="N13" i="98"/>
  <c r="M13" i="98"/>
  <c r="Q10" i="98"/>
  <c r="R10" i="98" s="1"/>
  <c r="S10" i="98" s="1"/>
  <c r="Y55" i="54"/>
  <c r="X55" i="54"/>
  <c r="W55" i="54"/>
  <c r="V55" i="54"/>
  <c r="U55" i="54"/>
  <c r="T55" i="54"/>
  <c r="S55" i="54"/>
  <c r="R55" i="54"/>
  <c r="Q55" i="54"/>
  <c r="P55" i="54"/>
  <c r="O55" i="54"/>
  <c r="N55" i="54"/>
  <c r="M55" i="54"/>
  <c r="V46" i="54"/>
  <c r="U46" i="54"/>
  <c r="T46" i="54"/>
  <c r="S46" i="54"/>
  <c r="R46" i="54"/>
  <c r="Q46" i="54"/>
  <c r="P46" i="54"/>
  <c r="O46" i="54"/>
  <c r="N46" i="54"/>
  <c r="M46" i="54"/>
  <c r="U41" i="54"/>
  <c r="T41" i="54"/>
  <c r="S41" i="54"/>
  <c r="R41" i="54"/>
  <c r="P41" i="54"/>
  <c r="O41" i="54"/>
  <c r="M40" i="54"/>
  <c r="M41" i="54" s="1"/>
  <c r="Y37" i="54"/>
  <c r="X37" i="54"/>
  <c r="W37" i="54"/>
  <c r="V37" i="54"/>
  <c r="U37" i="54"/>
  <c r="T37" i="54"/>
  <c r="S37" i="54"/>
  <c r="R37" i="54"/>
  <c r="Q37" i="54"/>
  <c r="P37" i="54"/>
  <c r="O37" i="54"/>
  <c r="N37" i="54"/>
  <c r="M37" i="54"/>
  <c r="R32" i="54"/>
  <c r="Q32" i="54"/>
  <c r="P32" i="54"/>
  <c r="Y22" i="54"/>
  <c r="Y29" i="54" s="1"/>
  <c r="X22" i="54"/>
  <c r="X29" i="54" s="1"/>
  <c r="W22" i="54"/>
  <c r="W29" i="54" s="1"/>
  <c r="V22" i="54"/>
  <c r="V29" i="54" s="1"/>
  <c r="U22" i="54"/>
  <c r="T22" i="54"/>
  <c r="T29" i="54" s="1"/>
  <c r="S22" i="54"/>
  <c r="S29" i="54" s="1"/>
  <c r="R22" i="54"/>
  <c r="R29" i="54" s="1"/>
  <c r="Q22" i="54"/>
  <c r="P22" i="54"/>
  <c r="O22" i="54"/>
  <c r="O29" i="54" s="1"/>
  <c r="N22" i="54"/>
  <c r="N29" i="54" s="1"/>
  <c r="M22" i="54"/>
  <c r="Y17" i="54"/>
  <c r="X17" i="54"/>
  <c r="W17" i="54"/>
  <c r="V17" i="54"/>
  <c r="U17" i="54"/>
  <c r="T17" i="54"/>
  <c r="S17" i="54"/>
  <c r="R17" i="54"/>
  <c r="Q17" i="54"/>
  <c r="P17" i="54"/>
  <c r="O17" i="54"/>
  <c r="N17" i="54"/>
  <c r="M17" i="54"/>
  <c r="U13" i="54"/>
  <c r="T13" i="54"/>
  <c r="S13" i="54"/>
  <c r="R13" i="54"/>
  <c r="Q13" i="54"/>
  <c r="P13" i="54"/>
  <c r="O13" i="54"/>
  <c r="N13" i="54"/>
  <c r="M13" i="54"/>
  <c r="M51" i="28" l="1"/>
  <c r="E55" i="76"/>
  <c r="D42" i="76"/>
  <c r="X29" i="28"/>
  <c r="M52" i="28"/>
  <c r="P48" i="54"/>
  <c r="P53" i="54" s="1"/>
  <c r="O48" i="98"/>
  <c r="U50" i="28"/>
  <c r="U52" i="28"/>
  <c r="Q37" i="28"/>
  <c r="P35" i="28"/>
  <c r="P37" i="28" s="1"/>
  <c r="M48" i="28" s="1"/>
  <c r="M53" i="28" s="1"/>
  <c r="V48" i="28"/>
  <c r="V53" i="28" s="1"/>
  <c r="U48" i="54"/>
  <c r="U53" i="54" s="1"/>
  <c r="N48" i="54"/>
  <c r="N53" i="54" s="1"/>
  <c r="R37" i="98"/>
  <c r="Q53" i="28"/>
  <c r="H48" i="2"/>
  <c r="H53" i="2" s="1"/>
  <c r="S22" i="98"/>
  <c r="S29" i="98" s="1"/>
  <c r="S17" i="98"/>
  <c r="J24" i="98"/>
  <c r="M29" i="98"/>
  <c r="O55" i="98"/>
  <c r="M48" i="54"/>
  <c r="M53" i="54" s="1"/>
  <c r="J48" i="54"/>
  <c r="J53" i="54" s="1"/>
  <c r="K48" i="54"/>
  <c r="K53" i="54" s="1"/>
  <c r="L48" i="54"/>
  <c r="L53" i="54" s="1"/>
  <c r="M29" i="54"/>
  <c r="J24" i="54"/>
  <c r="J27" i="54" s="1"/>
  <c r="J47" i="54" s="1"/>
  <c r="K24" i="54"/>
  <c r="K27" i="54" s="1"/>
  <c r="K47" i="54" s="1"/>
  <c r="L24" i="54"/>
  <c r="L27" i="54" s="1"/>
  <c r="L47" i="54" s="1"/>
  <c r="K24" i="98"/>
  <c r="L24" i="98"/>
  <c r="L26" i="98" s="1"/>
  <c r="L27" i="98" s="1"/>
  <c r="L47" i="98" s="1"/>
  <c r="J48" i="28"/>
  <c r="J53" i="28" s="1"/>
  <c r="K48" i="28"/>
  <c r="K53" i="28" s="1"/>
  <c r="L48" i="28"/>
  <c r="L53" i="28" s="1"/>
  <c r="P29" i="54"/>
  <c r="U51" i="28"/>
  <c r="Q55" i="28"/>
  <c r="S48" i="54"/>
  <c r="S53" i="54" s="1"/>
  <c r="T48" i="54"/>
  <c r="T53" i="54" s="1"/>
  <c r="N37" i="98"/>
  <c r="M55" i="98"/>
  <c r="U48" i="28"/>
  <c r="U53" i="28" s="1"/>
  <c r="O24" i="54"/>
  <c r="O27" i="54" s="1"/>
  <c r="O47" i="54" s="1"/>
  <c r="O50" i="54" s="1"/>
  <c r="T48" i="28"/>
  <c r="T53" i="28" s="1"/>
  <c r="I48" i="2"/>
  <c r="I53" i="2" s="1"/>
  <c r="Q48" i="54"/>
  <c r="Q53" i="54" s="1"/>
  <c r="O48" i="54"/>
  <c r="O53" i="54" s="1"/>
  <c r="F48" i="2"/>
  <c r="F53" i="2" s="1"/>
  <c r="S24" i="54"/>
  <c r="S27" i="54" s="1"/>
  <c r="S47" i="54" s="1"/>
  <c r="S52" i="54" s="1"/>
  <c r="I50" i="2"/>
  <c r="I51" i="2"/>
  <c r="I52" i="2"/>
  <c r="C48" i="2"/>
  <c r="C53" i="2" s="1"/>
  <c r="E48" i="2"/>
  <c r="E53" i="2" s="1"/>
  <c r="D48" i="2"/>
  <c r="D53" i="2" s="1"/>
  <c r="B48" i="2"/>
  <c r="B53" i="2" s="1"/>
  <c r="P48" i="28"/>
  <c r="P53" i="28" s="1"/>
  <c r="N48" i="28"/>
  <c r="N53" i="28" s="1"/>
  <c r="V17" i="28"/>
  <c r="U16" i="28"/>
  <c r="T16" i="28" s="1"/>
  <c r="V21" i="28"/>
  <c r="R17" i="28"/>
  <c r="R21" i="28"/>
  <c r="O51" i="28"/>
  <c r="O55" i="28"/>
  <c r="O52" i="28"/>
  <c r="V24" i="28"/>
  <c r="V27" i="28" s="1"/>
  <c r="V47" i="28" s="1"/>
  <c r="U55" i="28"/>
  <c r="S48" i="28"/>
  <c r="S53" i="28" s="1"/>
  <c r="O53" i="98"/>
  <c r="N55" i="98"/>
  <c r="N52" i="98"/>
  <c r="N51" i="98"/>
  <c r="N50" i="98"/>
  <c r="P51" i="98"/>
  <c r="P52" i="98"/>
  <c r="P53" i="98"/>
  <c r="Q35" i="98"/>
  <c r="M51" i="98"/>
  <c r="M52" i="98"/>
  <c r="O51" i="98"/>
  <c r="O52" i="98"/>
  <c r="S50" i="54"/>
  <c r="P24" i="54"/>
  <c r="P27" i="54" s="1"/>
  <c r="P47" i="54" s="1"/>
  <c r="P52" i="54" s="1"/>
  <c r="T24" i="54"/>
  <c r="T27" i="54" s="1"/>
  <c r="T47" i="54" s="1"/>
  <c r="T50" i="54" s="1"/>
  <c r="M24" i="54"/>
  <c r="M27" i="54" s="1"/>
  <c r="M47" i="54" s="1"/>
  <c r="M50" i="54" s="1"/>
  <c r="Q24" i="54"/>
  <c r="Q27" i="54" s="1"/>
  <c r="Q47" i="54" s="1"/>
  <c r="U24" i="54"/>
  <c r="U27" i="54" s="1"/>
  <c r="U47" i="54" s="1"/>
  <c r="U50" i="54" s="1"/>
  <c r="Q29" i="54"/>
  <c r="U29" i="54"/>
  <c r="N24" i="54"/>
  <c r="N27" i="54" s="1"/>
  <c r="N47" i="54" s="1"/>
  <c r="R24" i="54"/>
  <c r="R27" i="54" s="1"/>
  <c r="R47" i="54" s="1"/>
  <c r="R50" i="54" s="1"/>
  <c r="V24" i="54"/>
  <c r="V27" i="54" s="1"/>
  <c r="V47" i="54" s="1"/>
  <c r="R48" i="54"/>
  <c r="R53" i="54" s="1"/>
  <c r="V48" i="54"/>
  <c r="X55" i="3"/>
  <c r="W55" i="3"/>
  <c r="V55" i="3"/>
  <c r="U55" i="3"/>
  <c r="T55" i="3"/>
  <c r="S55" i="3"/>
  <c r="R55" i="3"/>
  <c r="S46" i="3"/>
  <c r="R46" i="3"/>
  <c r="Q46" i="3"/>
  <c r="P46" i="3"/>
  <c r="Q41" i="3"/>
  <c r="P41" i="3"/>
  <c r="O41" i="3"/>
  <c r="N41" i="3"/>
  <c r="M41" i="3"/>
  <c r="L41" i="3"/>
  <c r="X37" i="3"/>
  <c r="T37" i="3"/>
  <c r="W36" i="3"/>
  <c r="V36" i="3" s="1"/>
  <c r="S36" i="3"/>
  <c r="R36" i="3"/>
  <c r="Q36" i="3" s="1"/>
  <c r="P36" i="3" s="1"/>
  <c r="O36" i="3" s="1"/>
  <c r="N36" i="3"/>
  <c r="N37" i="3" s="1"/>
  <c r="W35" i="3"/>
  <c r="V35" i="3" s="1"/>
  <c r="S35" i="3"/>
  <c r="R35" i="3"/>
  <c r="Q35" i="3" s="1"/>
  <c r="M35" i="3"/>
  <c r="L35" i="3" s="1"/>
  <c r="K35" i="3" s="1"/>
  <c r="X32" i="3"/>
  <c r="W32" i="3" s="1"/>
  <c r="T32" i="3"/>
  <c r="S32" i="3" s="1"/>
  <c r="R32" i="3"/>
  <c r="Q32" i="3" s="1"/>
  <c r="P32" i="3" s="1"/>
  <c r="O32" i="3" s="1"/>
  <c r="N32" i="3"/>
  <c r="M32" i="3" s="1"/>
  <c r="L32" i="3" s="1"/>
  <c r="K32" i="3" s="1"/>
  <c r="R31" i="3"/>
  <c r="Q31" i="3" s="1"/>
  <c r="P31" i="3" s="1"/>
  <c r="O31" i="3" s="1"/>
  <c r="N31" i="3"/>
  <c r="M31" i="3" s="1"/>
  <c r="L31" i="3" s="1"/>
  <c r="K31" i="3" s="1"/>
  <c r="R30" i="3"/>
  <c r="Q30" i="3" s="1"/>
  <c r="P30" i="3" s="1"/>
  <c r="O30" i="3" s="1"/>
  <c r="N30" i="3"/>
  <c r="M30" i="3" s="1"/>
  <c r="L30" i="3" s="1"/>
  <c r="K30" i="3" s="1"/>
  <c r="V29" i="3"/>
  <c r="U29" i="3"/>
  <c r="T29" i="3"/>
  <c r="S29" i="3"/>
  <c r="R29" i="3"/>
  <c r="Q29" i="3"/>
  <c r="O29" i="3"/>
  <c r="N29" i="3"/>
  <c r="M29" i="3"/>
  <c r="L29" i="3"/>
  <c r="S24" i="3"/>
  <c r="S27" i="3" s="1"/>
  <c r="S47" i="3" s="1"/>
  <c r="R24" i="3"/>
  <c r="R27" i="3" s="1"/>
  <c r="R47" i="3" s="1"/>
  <c r="Q24" i="3"/>
  <c r="Q27" i="3" s="1"/>
  <c r="Q47" i="3" s="1"/>
  <c r="L24" i="3"/>
  <c r="L27" i="3" s="1"/>
  <c r="L47" i="3" s="1"/>
  <c r="L50" i="3" s="1"/>
  <c r="W22" i="3"/>
  <c r="U24" i="3" s="1"/>
  <c r="U27" i="3" s="1"/>
  <c r="U47" i="3" s="1"/>
  <c r="P22" i="3"/>
  <c r="M24" i="3" s="1"/>
  <c r="M27" i="3" s="1"/>
  <c r="M47" i="3" s="1"/>
  <c r="Q21" i="3"/>
  <c r="Q33" i="3" s="1"/>
  <c r="P20" i="3"/>
  <c r="P19" i="3"/>
  <c r="V17" i="3"/>
  <c r="U17" i="3"/>
  <c r="T17" i="3"/>
  <c r="S17" i="3"/>
  <c r="R17" i="3"/>
  <c r="Q17" i="3"/>
  <c r="W16" i="3"/>
  <c r="O16" i="3"/>
  <c r="O17" i="3" s="1"/>
  <c r="N16" i="3"/>
  <c r="N17" i="3" s="1"/>
  <c r="M16" i="3"/>
  <c r="M17" i="3" s="1"/>
  <c r="L16" i="3"/>
  <c r="L17" i="3" s="1"/>
  <c r="T13" i="3"/>
  <c r="R13" i="3"/>
  <c r="Q13" i="3"/>
  <c r="P13" i="3"/>
  <c r="O13" i="3"/>
  <c r="N13" i="3"/>
  <c r="M13" i="3"/>
  <c r="L13" i="3"/>
  <c r="W12" i="3"/>
  <c r="S13" i="3" s="1"/>
  <c r="N46" i="3"/>
  <c r="N48" i="98" l="1"/>
  <c r="C42" i="76"/>
  <c r="C55" i="76" s="1"/>
  <c r="D55" i="76"/>
  <c r="O48" i="28"/>
  <c r="O53" i="28" s="1"/>
  <c r="R51" i="54"/>
  <c r="O52" i="54"/>
  <c r="S37" i="3"/>
  <c r="S51" i="54"/>
  <c r="Q37" i="98"/>
  <c r="P35" i="98"/>
  <c r="P37" i="98" s="1"/>
  <c r="K50" i="54"/>
  <c r="K51" i="54"/>
  <c r="K52" i="54"/>
  <c r="J51" i="54"/>
  <c r="J52" i="54"/>
  <c r="J50" i="54"/>
  <c r="L52" i="54"/>
  <c r="L50" i="54"/>
  <c r="L51" i="54"/>
  <c r="L52" i="98"/>
  <c r="L50" i="98"/>
  <c r="L55" i="98"/>
  <c r="L51" i="98"/>
  <c r="W17" i="3"/>
  <c r="P21" i="3"/>
  <c r="P33" i="3"/>
  <c r="M36" i="3"/>
  <c r="M37" i="98"/>
  <c r="L35" i="98"/>
  <c r="L37" i="98" s="1"/>
  <c r="T24" i="3"/>
  <c r="T27" i="3" s="1"/>
  <c r="T47" i="3" s="1"/>
  <c r="O51" i="54"/>
  <c r="Q51" i="3"/>
  <c r="O46" i="3"/>
  <c r="V50" i="28"/>
  <c r="V51" i="28"/>
  <c r="V55" i="28"/>
  <c r="V52" i="28"/>
  <c r="U17" i="28"/>
  <c r="U21" i="28"/>
  <c r="T17" i="28"/>
  <c r="T21" i="28"/>
  <c r="N53" i="98"/>
  <c r="P51" i="54"/>
  <c r="P50" i="54"/>
  <c r="T52" i="54"/>
  <c r="M51" i="54"/>
  <c r="R52" i="54"/>
  <c r="N52" i="54"/>
  <c r="N51" i="54"/>
  <c r="N50" i="54"/>
  <c r="U51" i="54"/>
  <c r="T51" i="54"/>
  <c r="M52" i="54"/>
  <c r="U52" i="54"/>
  <c r="Q50" i="54"/>
  <c r="Q52" i="54"/>
  <c r="Q51" i="54"/>
  <c r="Q55" i="3"/>
  <c r="Q52" i="3"/>
  <c r="Q50" i="3"/>
  <c r="Q37" i="3"/>
  <c r="P35" i="3"/>
  <c r="L55" i="3"/>
  <c r="M55" i="3"/>
  <c r="M50" i="3"/>
  <c r="M52" i="3"/>
  <c r="M51" i="3"/>
  <c r="O24" i="3"/>
  <c r="O27" i="3" s="1"/>
  <c r="O47" i="3" s="1"/>
  <c r="O50" i="3" s="1"/>
  <c r="W29" i="3"/>
  <c r="R37" i="3"/>
  <c r="L46" i="3"/>
  <c r="T46" i="3"/>
  <c r="L51" i="3"/>
  <c r="P16" i="3"/>
  <c r="P17" i="3" s="1"/>
  <c r="P24" i="3"/>
  <c r="P27" i="3" s="1"/>
  <c r="P47" i="3" s="1"/>
  <c r="P50" i="3" s="1"/>
  <c r="P29" i="3"/>
  <c r="M46" i="3"/>
  <c r="U46" i="3"/>
  <c r="N24" i="3"/>
  <c r="N27" i="3" s="1"/>
  <c r="N47" i="3" s="1"/>
  <c r="N50" i="3" s="1"/>
  <c r="L52" i="3"/>
  <c r="X55" i="73"/>
  <c r="W55" i="73"/>
  <c r="V55" i="73"/>
  <c r="U55" i="73"/>
  <c r="T55" i="73"/>
  <c r="S55" i="73"/>
  <c r="R47" i="73"/>
  <c r="R41" i="73"/>
  <c r="Q41" i="73"/>
  <c r="P41" i="73"/>
  <c r="O40" i="73"/>
  <c r="O41" i="73" s="1"/>
  <c r="N40" i="73"/>
  <c r="N41" i="73" s="1"/>
  <c r="M40" i="73"/>
  <c r="M41" i="73" s="1"/>
  <c r="L40" i="73"/>
  <c r="X37" i="73"/>
  <c r="T37" i="73"/>
  <c r="P37" i="73"/>
  <c r="O37" i="73"/>
  <c r="N37" i="73"/>
  <c r="W36" i="73"/>
  <c r="V36" i="73"/>
  <c r="U36" i="73" s="1"/>
  <c r="S36" i="73"/>
  <c r="R36" i="73"/>
  <c r="M36" i="73"/>
  <c r="L36" i="73"/>
  <c r="I36" i="73" s="1"/>
  <c r="W35" i="73"/>
  <c r="U35" i="73" s="1"/>
  <c r="V35" i="73"/>
  <c r="S35" i="73"/>
  <c r="R35" i="73" s="1"/>
  <c r="M35" i="73"/>
  <c r="L35" i="73"/>
  <c r="I35" i="73" s="1"/>
  <c r="X33" i="73"/>
  <c r="W33" i="73"/>
  <c r="V33" i="73"/>
  <c r="U33" i="73"/>
  <c r="T33" i="73"/>
  <c r="S33" i="73"/>
  <c r="R33" i="73"/>
  <c r="Q33" i="73"/>
  <c r="P33" i="73"/>
  <c r="O33" i="73"/>
  <c r="N33" i="73"/>
  <c r="M33" i="73"/>
  <c r="L33" i="73"/>
  <c r="X32" i="73"/>
  <c r="W32" i="73" s="1"/>
  <c r="T32" i="73"/>
  <c r="S32" i="73" s="1"/>
  <c r="Q32" i="73"/>
  <c r="P32" i="73"/>
  <c r="N32" i="73"/>
  <c r="L32" i="73"/>
  <c r="I32" i="73" s="1"/>
  <c r="X31" i="73"/>
  <c r="W31" i="73" s="1"/>
  <c r="T31" i="73"/>
  <c r="P31" i="73"/>
  <c r="O31" i="73" s="1"/>
  <c r="L31" i="73"/>
  <c r="J31" i="73" s="1"/>
  <c r="I31" i="73" s="1"/>
  <c r="X30" i="73"/>
  <c r="W30" i="73" s="1"/>
  <c r="T30" i="73"/>
  <c r="P30" i="73"/>
  <c r="O30" i="73" s="1"/>
  <c r="L30" i="73"/>
  <c r="J30" i="73" s="1"/>
  <c r="X22" i="73"/>
  <c r="X29" i="73" s="1"/>
  <c r="W22" i="73"/>
  <c r="W29" i="73" s="1"/>
  <c r="T22" i="73"/>
  <c r="S22" i="73"/>
  <c r="S29" i="73" s="1"/>
  <c r="R22" i="73"/>
  <c r="R29" i="73" s="1"/>
  <c r="P22" i="73"/>
  <c r="P29" i="73" s="1"/>
  <c r="O22" i="73"/>
  <c r="N22" i="73"/>
  <c r="M22" i="73"/>
  <c r="L22" i="73"/>
  <c r="X17" i="73"/>
  <c r="W17" i="73"/>
  <c r="T17" i="73"/>
  <c r="S17" i="73"/>
  <c r="R17" i="73"/>
  <c r="P17" i="73"/>
  <c r="O17" i="73"/>
  <c r="N17" i="73"/>
  <c r="L17" i="73"/>
  <c r="V16" i="73"/>
  <c r="V22" i="73" s="1"/>
  <c r="V29" i="73" s="1"/>
  <c r="U16" i="73"/>
  <c r="U22" i="73" s="1"/>
  <c r="T13" i="73"/>
  <c r="S13" i="73"/>
  <c r="R13" i="73"/>
  <c r="P13" i="73"/>
  <c r="O13" i="73"/>
  <c r="N13" i="73"/>
  <c r="L13" i="73"/>
  <c r="U12" i="73"/>
  <c r="U46" i="73" s="1"/>
  <c r="Q12" i="73"/>
  <c r="Q46" i="73" s="1"/>
  <c r="M12" i="73"/>
  <c r="V30" i="73" l="1"/>
  <c r="P34" i="73"/>
  <c r="S31" i="73"/>
  <c r="R31" i="73" s="1"/>
  <c r="N46" i="73"/>
  <c r="R37" i="73"/>
  <c r="S37" i="73"/>
  <c r="P52" i="3"/>
  <c r="V37" i="73"/>
  <c r="S46" i="73"/>
  <c r="L29" i="73"/>
  <c r="L34" i="73" s="1"/>
  <c r="I24" i="73"/>
  <c r="Q13" i="73"/>
  <c r="W37" i="73"/>
  <c r="Q36" i="73"/>
  <c r="R55" i="73"/>
  <c r="M46" i="73"/>
  <c r="I13" i="73"/>
  <c r="J46" i="73"/>
  <c r="L46" i="73"/>
  <c r="K46" i="73"/>
  <c r="I30" i="73"/>
  <c r="J34" i="73"/>
  <c r="L37" i="73"/>
  <c r="M48" i="98"/>
  <c r="M53" i="98" s="1"/>
  <c r="I48" i="98"/>
  <c r="I53" i="98" s="1"/>
  <c r="J48" i="98"/>
  <c r="J53" i="98" s="1"/>
  <c r="M29" i="73"/>
  <c r="J24" i="73"/>
  <c r="L48" i="98"/>
  <c r="L53" i="98" s="1"/>
  <c r="K48" i="98"/>
  <c r="K53" i="98" s="1"/>
  <c r="L36" i="3"/>
  <c r="M37" i="3"/>
  <c r="N51" i="3"/>
  <c r="P37" i="3"/>
  <c r="O35" i="3"/>
  <c r="O37" i="3" s="1"/>
  <c r="N48" i="3" s="1"/>
  <c r="N53" i="3" s="1"/>
  <c r="M24" i="73"/>
  <c r="M25" i="73" s="1"/>
  <c r="M27" i="73" s="1"/>
  <c r="M47" i="73" s="1"/>
  <c r="M50" i="73" s="1"/>
  <c r="L24" i="73"/>
  <c r="N29" i="73"/>
  <c r="K24" i="73"/>
  <c r="R51" i="73"/>
  <c r="U30" i="73"/>
  <c r="W34" i="73"/>
  <c r="M32" i="73"/>
  <c r="O46" i="73"/>
  <c r="X34" i="73"/>
  <c r="R46" i="73"/>
  <c r="U17" i="73"/>
  <c r="R52" i="73"/>
  <c r="N31" i="73"/>
  <c r="M31" i="73" s="1"/>
  <c r="V31" i="73"/>
  <c r="U31" i="73" s="1"/>
  <c r="O55" i="3"/>
  <c r="S30" i="73"/>
  <c r="R30" i="73" s="1"/>
  <c r="Q35" i="73"/>
  <c r="Q37" i="73" s="1"/>
  <c r="O48" i="73" s="1"/>
  <c r="O53" i="73" s="1"/>
  <c r="O52" i="3"/>
  <c r="P51" i="3"/>
  <c r="O51" i="3"/>
  <c r="P55" i="3"/>
  <c r="Q48" i="3"/>
  <c r="Q53" i="3" s="1"/>
  <c r="N55" i="3"/>
  <c r="N52" i="3"/>
  <c r="U24" i="73"/>
  <c r="U27" i="73" s="1"/>
  <c r="U47" i="73" s="1"/>
  <c r="U29" i="73"/>
  <c r="T24" i="73"/>
  <c r="T27" i="73" s="1"/>
  <c r="T47" i="73" s="1"/>
  <c r="O29" i="73"/>
  <c r="O34" i="73" s="1"/>
  <c r="U37" i="73"/>
  <c r="M17" i="73"/>
  <c r="R24" i="73"/>
  <c r="R25" i="73" s="1"/>
  <c r="Q25" i="73" s="1"/>
  <c r="V17" i="73"/>
  <c r="Q22" i="73"/>
  <c r="O24" i="73" s="1"/>
  <c r="S24" i="73"/>
  <c r="S27" i="73" s="1"/>
  <c r="S47" i="73" s="1"/>
  <c r="R32" i="73"/>
  <c r="V32" i="73"/>
  <c r="U32" i="73" s="1"/>
  <c r="P46" i="73"/>
  <c r="T46" i="73"/>
  <c r="M37" i="73"/>
  <c r="M48" i="73" s="1"/>
  <c r="M53" i="73" s="1"/>
  <c r="L41" i="73"/>
  <c r="M13" i="73"/>
  <c r="T29" i="73"/>
  <c r="T34" i="73" s="1"/>
  <c r="R50" i="73"/>
  <c r="S55" i="123"/>
  <c r="N55" i="123"/>
  <c r="M55" i="123"/>
  <c r="P42" i="123"/>
  <c r="O42" i="123"/>
  <c r="P40" i="123"/>
  <c r="P41" i="123" s="1"/>
  <c r="O40" i="123"/>
  <c r="O41" i="123" s="1"/>
  <c r="N40" i="123"/>
  <c r="N50" i="123" s="1"/>
  <c r="M40" i="123"/>
  <c r="M50" i="123" s="1"/>
  <c r="S37" i="123"/>
  <c r="O37" i="123"/>
  <c r="R36" i="123"/>
  <c r="Q36" i="123" s="1"/>
  <c r="P36" i="123" s="1"/>
  <c r="N36" i="123"/>
  <c r="M36" i="123" s="1"/>
  <c r="L36" i="123" s="1"/>
  <c r="R35" i="123"/>
  <c r="Q35" i="123" s="1"/>
  <c r="N35" i="123"/>
  <c r="M35" i="123" s="1"/>
  <c r="L35" i="123" s="1"/>
  <c r="S16" i="123"/>
  <c r="S22" i="123" s="1"/>
  <c r="S29" i="123" s="1"/>
  <c r="O22" i="123"/>
  <c r="O13" i="123"/>
  <c r="N13" i="123"/>
  <c r="M13" i="123"/>
  <c r="P12" i="123"/>
  <c r="O10" i="123"/>
  <c r="P10" i="123" s="1"/>
  <c r="Q10" i="123" s="1"/>
  <c r="R10" i="123" s="1"/>
  <c r="S10" i="123" s="1"/>
  <c r="P55" i="122"/>
  <c r="O55" i="122"/>
  <c r="N55" i="122"/>
  <c r="M55" i="122"/>
  <c r="L55" i="122"/>
  <c r="K55" i="122"/>
  <c r="J46" i="122"/>
  <c r="J42" i="122"/>
  <c r="K40" i="122"/>
  <c r="K41" i="122" s="1"/>
  <c r="J40" i="122"/>
  <c r="J41" i="122" s="1"/>
  <c r="P22" i="122"/>
  <c r="P29" i="122" s="1"/>
  <c r="O22" i="122"/>
  <c r="O29" i="122" s="1"/>
  <c r="N22" i="122"/>
  <c r="M22" i="122"/>
  <c r="M29" i="122" s="1"/>
  <c r="L22" i="122"/>
  <c r="L29" i="122" s="1"/>
  <c r="K22" i="122"/>
  <c r="J22" i="122"/>
  <c r="P17" i="122"/>
  <c r="O17" i="122"/>
  <c r="N17" i="122"/>
  <c r="M17" i="122"/>
  <c r="L17" i="122"/>
  <c r="K17" i="122"/>
  <c r="J17" i="122"/>
  <c r="L13" i="122"/>
  <c r="K13" i="122"/>
  <c r="J13" i="122"/>
  <c r="L10" i="122"/>
  <c r="M10" i="122" s="1"/>
  <c r="N10" i="122" s="1"/>
  <c r="O10" i="122" s="1"/>
  <c r="P10" i="122" s="1"/>
  <c r="Q55" i="80"/>
  <c r="N42" i="80"/>
  <c r="M42" i="80"/>
  <c r="L42" i="80"/>
  <c r="K42" i="80"/>
  <c r="N41" i="80"/>
  <c r="M41" i="80"/>
  <c r="L41" i="80"/>
  <c r="K41" i="80"/>
  <c r="Q36" i="80"/>
  <c r="Q37" i="80" s="1"/>
  <c r="M36" i="80"/>
  <c r="L36" i="80" s="1"/>
  <c r="K36" i="80" s="1"/>
  <c r="J36" i="80" s="1"/>
  <c r="P35" i="80"/>
  <c r="M35" i="80"/>
  <c r="L35" i="80" s="1"/>
  <c r="P29" i="80"/>
  <c r="O29" i="80"/>
  <c r="M29" i="80"/>
  <c r="L29" i="80"/>
  <c r="K29" i="80"/>
  <c r="Q22" i="80"/>
  <c r="N22" i="80" s="1"/>
  <c r="N29" i="80" s="1"/>
  <c r="N20" i="80"/>
  <c r="N19" i="80"/>
  <c r="Q16" i="80"/>
  <c r="Q17" i="80" s="1"/>
  <c r="P16" i="80"/>
  <c r="P17" i="80" s="1"/>
  <c r="O16" i="80"/>
  <c r="O21" i="80" s="1"/>
  <c r="M16" i="80"/>
  <c r="M21" i="80" s="1"/>
  <c r="L16" i="80"/>
  <c r="L17" i="80" s="1"/>
  <c r="K16" i="80"/>
  <c r="M13" i="80"/>
  <c r="L13" i="80"/>
  <c r="K13" i="80"/>
  <c r="N12" i="80"/>
  <c r="N55" i="106"/>
  <c r="M55" i="106"/>
  <c r="L55" i="106"/>
  <c r="K42" i="106"/>
  <c r="J42" i="106"/>
  <c r="I42" i="106"/>
  <c r="H42" i="106"/>
  <c r="G42" i="106"/>
  <c r="F42" i="106"/>
  <c r="E42" i="106"/>
  <c r="D42" i="106"/>
  <c r="K41" i="106"/>
  <c r="J41" i="106"/>
  <c r="I41" i="106"/>
  <c r="H41" i="106"/>
  <c r="G41" i="106"/>
  <c r="F41" i="106"/>
  <c r="E41" i="106"/>
  <c r="D41" i="106"/>
  <c r="K40" i="106"/>
  <c r="J40" i="106"/>
  <c r="I40" i="106"/>
  <c r="H40" i="106"/>
  <c r="G40" i="106"/>
  <c r="F40" i="106"/>
  <c r="E40" i="106"/>
  <c r="D40" i="106"/>
  <c r="J39" i="106"/>
  <c r="N37" i="106"/>
  <c r="J37" i="106"/>
  <c r="F37" i="106"/>
  <c r="B48" i="106" s="1"/>
  <c r="B53" i="106" s="1"/>
  <c r="M36" i="106"/>
  <c r="L36" i="106" s="1"/>
  <c r="K36" i="106" s="1"/>
  <c r="I36" i="106"/>
  <c r="H36" i="106" s="1"/>
  <c r="M35" i="106"/>
  <c r="L35" i="106" s="1"/>
  <c r="I35" i="106"/>
  <c r="H35" i="106" s="1"/>
  <c r="M32" i="106"/>
  <c r="L32" i="106" s="1"/>
  <c r="K32" i="106" s="1"/>
  <c r="I32" i="106"/>
  <c r="H32" i="106" s="1"/>
  <c r="K31" i="106"/>
  <c r="N30" i="106"/>
  <c r="M30" i="106"/>
  <c r="L30" i="106"/>
  <c r="J30" i="106"/>
  <c r="I30" i="106"/>
  <c r="N29" i="106"/>
  <c r="M29" i="106"/>
  <c r="L29" i="106"/>
  <c r="K29" i="106"/>
  <c r="J29" i="106"/>
  <c r="I29" i="106"/>
  <c r="G29" i="106"/>
  <c r="F29" i="106"/>
  <c r="E29" i="106"/>
  <c r="K24" i="106"/>
  <c r="K27" i="106" s="1"/>
  <c r="K47" i="106" s="1"/>
  <c r="J24" i="106"/>
  <c r="J27" i="106" s="1"/>
  <c r="J47" i="106" s="1"/>
  <c r="I24" i="106"/>
  <c r="I27" i="106" s="1"/>
  <c r="I47" i="106" s="1"/>
  <c r="N21" i="106"/>
  <c r="M21" i="106"/>
  <c r="M16" i="106" s="1"/>
  <c r="M17" i="106" s="1"/>
  <c r="L21" i="106"/>
  <c r="L33" i="106" s="1"/>
  <c r="K21" i="106"/>
  <c r="K33" i="106" s="1"/>
  <c r="J21" i="106"/>
  <c r="I21" i="106"/>
  <c r="H21" i="106"/>
  <c r="D21" i="106"/>
  <c r="N20" i="106"/>
  <c r="J20" i="106"/>
  <c r="H20" i="106"/>
  <c r="E20" i="106"/>
  <c r="J19" i="106"/>
  <c r="I19" i="106"/>
  <c r="J17" i="106"/>
  <c r="K16" i="106"/>
  <c r="H16" i="106"/>
  <c r="F17" i="106"/>
  <c r="E16" i="106"/>
  <c r="D16" i="106"/>
  <c r="D17" i="106" s="1"/>
  <c r="J13" i="106"/>
  <c r="I13" i="106"/>
  <c r="H13" i="106"/>
  <c r="F13" i="106"/>
  <c r="E13" i="106"/>
  <c r="D13" i="106"/>
  <c r="K12" i="106"/>
  <c r="J46" i="106" s="1"/>
  <c r="H10" i="106"/>
  <c r="I10" i="106" s="1"/>
  <c r="J10" i="106" s="1"/>
  <c r="K10" i="106" s="1"/>
  <c r="L10" i="106" s="1"/>
  <c r="M10" i="106" s="1"/>
  <c r="N10" i="106" s="1"/>
  <c r="W55" i="20"/>
  <c r="V55" i="20"/>
  <c r="U55" i="20"/>
  <c r="T55" i="20"/>
  <c r="S55" i="20"/>
  <c r="R55" i="20"/>
  <c r="Q55" i="20"/>
  <c r="P55" i="20"/>
  <c r="O55" i="20"/>
  <c r="N55" i="20"/>
  <c r="M55" i="20"/>
  <c r="L55" i="20"/>
  <c r="K55" i="20"/>
  <c r="T46" i="20"/>
  <c r="S46" i="20"/>
  <c r="R46" i="20"/>
  <c r="Q46" i="20"/>
  <c r="P46" i="20"/>
  <c r="O46" i="20"/>
  <c r="T44" i="20"/>
  <c r="S44" i="20"/>
  <c r="R44" i="20"/>
  <c r="Q44" i="20"/>
  <c r="P44" i="20"/>
  <c r="N40" i="20"/>
  <c r="N41" i="20" s="1"/>
  <c r="M40" i="20"/>
  <c r="M41" i="20" s="1"/>
  <c r="L40" i="20"/>
  <c r="L41" i="20" s="1"/>
  <c r="K40" i="20"/>
  <c r="K41" i="20" s="1"/>
  <c r="W37" i="20"/>
  <c r="V37" i="20"/>
  <c r="U37" i="20"/>
  <c r="Q37" i="20"/>
  <c r="P37" i="20"/>
  <c r="M37" i="20"/>
  <c r="O36" i="20"/>
  <c r="N36" i="20" s="1"/>
  <c r="L36" i="20"/>
  <c r="K36" i="20" s="1"/>
  <c r="J36" i="20" s="1"/>
  <c r="T35" i="20"/>
  <c r="T37" i="20" s="1"/>
  <c r="O35" i="20"/>
  <c r="N35" i="20" s="1"/>
  <c r="L35" i="20"/>
  <c r="K35" i="20" s="1"/>
  <c r="J35" i="20" s="1"/>
  <c r="O32" i="20"/>
  <c r="N32" i="20" s="1"/>
  <c r="J32" i="20"/>
  <c r="O31" i="20"/>
  <c r="N31" i="20" s="1"/>
  <c r="L31" i="20"/>
  <c r="K31" i="20" s="1"/>
  <c r="J31" i="20" s="1"/>
  <c r="O30" i="20"/>
  <c r="N30" i="20" s="1"/>
  <c r="L30" i="20"/>
  <c r="K30" i="20" s="1"/>
  <c r="J30" i="20" s="1"/>
  <c r="W22" i="20"/>
  <c r="W29" i="20" s="1"/>
  <c r="V22" i="20"/>
  <c r="V29" i="20" s="1"/>
  <c r="U22" i="20"/>
  <c r="U29" i="20" s="1"/>
  <c r="T22" i="20"/>
  <c r="T29" i="20" s="1"/>
  <c r="S22" i="20"/>
  <c r="S29" i="20" s="1"/>
  <c r="R22" i="20"/>
  <c r="Q22" i="20"/>
  <c r="P22" i="20"/>
  <c r="P29" i="20" s="1"/>
  <c r="O22" i="20"/>
  <c r="O29" i="20" s="1"/>
  <c r="N22" i="20"/>
  <c r="N29" i="20" s="1"/>
  <c r="W17" i="20"/>
  <c r="V17" i="20"/>
  <c r="U17" i="20"/>
  <c r="T17" i="20"/>
  <c r="S17" i="20"/>
  <c r="R17" i="20"/>
  <c r="Q17" i="20"/>
  <c r="P17" i="20"/>
  <c r="O17" i="20"/>
  <c r="M17" i="20"/>
  <c r="L22" i="20"/>
  <c r="S13" i="20"/>
  <c r="R13" i="20"/>
  <c r="Q13" i="20"/>
  <c r="P13" i="20"/>
  <c r="O13" i="20"/>
  <c r="M13" i="20"/>
  <c r="L13" i="20"/>
  <c r="K13" i="20"/>
  <c r="N12" i="20"/>
  <c r="S48" i="73" l="1"/>
  <c r="I50" i="106"/>
  <c r="M55" i="73"/>
  <c r="L37" i="123"/>
  <c r="I48" i="123" s="1"/>
  <c r="I53" i="123" s="1"/>
  <c r="R37" i="123"/>
  <c r="Q31" i="73"/>
  <c r="I37" i="73"/>
  <c r="F48" i="73" s="1"/>
  <c r="F53" i="73" s="1"/>
  <c r="I34" i="73"/>
  <c r="I25" i="73"/>
  <c r="I27" i="73"/>
  <c r="I47" i="73" s="1"/>
  <c r="Q48" i="73"/>
  <c r="Q53" i="73" s="1"/>
  <c r="I16" i="106"/>
  <c r="I17" i="106" s="1"/>
  <c r="J48" i="73"/>
  <c r="J53" i="73" s="1"/>
  <c r="K48" i="73"/>
  <c r="K53" i="73" s="1"/>
  <c r="I24" i="20"/>
  <c r="I27" i="20" s="1"/>
  <c r="I47" i="20" s="1"/>
  <c r="O46" i="123"/>
  <c r="L13" i="123"/>
  <c r="O48" i="3"/>
  <c r="O53" i="3" s="1"/>
  <c r="J29" i="122"/>
  <c r="H24" i="122"/>
  <c r="H26" i="122" s="1"/>
  <c r="G24" i="122"/>
  <c r="G26" i="122" s="1"/>
  <c r="G27" i="122" s="1"/>
  <c r="G47" i="122" s="1"/>
  <c r="O17" i="80"/>
  <c r="N46" i="80"/>
  <c r="K21" i="80"/>
  <c r="J16" i="80"/>
  <c r="M46" i="80"/>
  <c r="J13" i="80"/>
  <c r="T48" i="20"/>
  <c r="T53" i="20" s="1"/>
  <c r="M46" i="20"/>
  <c r="J13" i="20"/>
  <c r="J37" i="20"/>
  <c r="G48" i="20" s="1"/>
  <c r="G53" i="20" s="1"/>
  <c r="M52" i="73"/>
  <c r="J25" i="73"/>
  <c r="J27" i="73" s="1"/>
  <c r="J47" i="73" s="1"/>
  <c r="P48" i="3"/>
  <c r="P53" i="3" s="1"/>
  <c r="M48" i="3"/>
  <c r="M53" i="3" s="1"/>
  <c r="K36" i="3"/>
  <c r="K37" i="3" s="1"/>
  <c r="H48" i="3" s="1"/>
  <c r="L37" i="3"/>
  <c r="L48" i="3" s="1"/>
  <c r="L53" i="3" s="1"/>
  <c r="M51" i="73"/>
  <c r="L25" i="73"/>
  <c r="L27" i="73" s="1"/>
  <c r="L47" i="73" s="1"/>
  <c r="K25" i="73"/>
  <c r="K27" i="73" s="1"/>
  <c r="K47" i="73" s="1"/>
  <c r="S35" i="20"/>
  <c r="S37" i="20" s="1"/>
  <c r="S48" i="20" s="1"/>
  <c r="S53" i="20" s="1"/>
  <c r="I33" i="106"/>
  <c r="K30" i="106"/>
  <c r="G16" i="106"/>
  <c r="G17" i="106" s="1"/>
  <c r="N33" i="106"/>
  <c r="K46" i="106"/>
  <c r="K17" i="106"/>
  <c r="J33" i="106"/>
  <c r="H22" i="106"/>
  <c r="H24" i="106" s="1"/>
  <c r="H27" i="106" s="1"/>
  <c r="H47" i="106" s="1"/>
  <c r="J48" i="122"/>
  <c r="J53" i="122" s="1"/>
  <c r="I37" i="122"/>
  <c r="K29" i="122"/>
  <c r="I24" i="122"/>
  <c r="I26" i="122" s="1"/>
  <c r="N29" i="122"/>
  <c r="Q37" i="123"/>
  <c r="N22" i="123"/>
  <c r="S17" i="123"/>
  <c r="L37" i="80"/>
  <c r="P24" i="20"/>
  <c r="P27" i="20" s="1"/>
  <c r="P47" i="20" s="1"/>
  <c r="P52" i="20" s="1"/>
  <c r="L16" i="106"/>
  <c r="L17" i="106" s="1"/>
  <c r="J50" i="106"/>
  <c r="M33" i="106"/>
  <c r="M34" i="106" s="1"/>
  <c r="N17" i="20"/>
  <c r="D22" i="106"/>
  <c r="B24" i="106" s="1"/>
  <c r="K50" i="106"/>
  <c r="Q21" i="80"/>
  <c r="Q29" i="80"/>
  <c r="R16" i="123"/>
  <c r="R22" i="123" s="1"/>
  <c r="R29" i="123" s="1"/>
  <c r="S34" i="73"/>
  <c r="I34" i="106"/>
  <c r="H30" i="106"/>
  <c r="O37" i="20"/>
  <c r="N16" i="106"/>
  <c r="N17" i="106" s="1"/>
  <c r="M37" i="80"/>
  <c r="P48" i="73"/>
  <c r="P53" i="73" s="1"/>
  <c r="L48" i="73"/>
  <c r="L53" i="73" s="1"/>
  <c r="N48" i="73"/>
  <c r="N53" i="73" s="1"/>
  <c r="Q24" i="20"/>
  <c r="Q27" i="20" s="1"/>
  <c r="Q47" i="20" s="1"/>
  <c r="Q52" i="20" s="1"/>
  <c r="Q29" i="20"/>
  <c r="E21" i="106"/>
  <c r="H33" i="106"/>
  <c r="I52" i="106"/>
  <c r="I55" i="106"/>
  <c r="K17" i="80"/>
  <c r="M37" i="123"/>
  <c r="N37" i="123"/>
  <c r="U34" i="73"/>
  <c r="M22" i="20"/>
  <c r="M29" i="20" s="1"/>
  <c r="T24" i="20"/>
  <c r="T27" i="20" s="1"/>
  <c r="T47" i="20" s="1"/>
  <c r="T50" i="20" s="1"/>
  <c r="H17" i="106"/>
  <c r="I37" i="106"/>
  <c r="M17" i="80"/>
  <c r="L46" i="80"/>
  <c r="O17" i="123"/>
  <c r="R34" i="73"/>
  <c r="Q30" i="73"/>
  <c r="N30" i="73" s="1"/>
  <c r="M30" i="73" s="1"/>
  <c r="M34" i="73" s="1"/>
  <c r="O25" i="73"/>
  <c r="O27" i="73" s="1"/>
  <c r="O47" i="73" s="1"/>
  <c r="Q16" i="73"/>
  <c r="Q17" i="73" s="1"/>
  <c r="Q29" i="73"/>
  <c r="P24" i="73"/>
  <c r="T48" i="73"/>
  <c r="U48" i="73"/>
  <c r="V34" i="73"/>
  <c r="N24" i="73"/>
  <c r="Q27" i="73"/>
  <c r="Q47" i="73" s="1"/>
  <c r="P25" i="73"/>
  <c r="R48" i="73"/>
  <c r="R53" i="73" s="1"/>
  <c r="N29" i="123"/>
  <c r="O29" i="123"/>
  <c r="N17" i="123"/>
  <c r="P35" i="123"/>
  <c r="P37" i="123" s="1"/>
  <c r="P46" i="123"/>
  <c r="M41" i="123"/>
  <c r="N41" i="123"/>
  <c r="K53" i="122"/>
  <c r="K51" i="122"/>
  <c r="K52" i="122"/>
  <c r="K50" i="122"/>
  <c r="J24" i="122"/>
  <c r="K24" i="80"/>
  <c r="K27" i="80" s="1"/>
  <c r="K47" i="80" s="1"/>
  <c r="K50" i="80" s="1"/>
  <c r="L24" i="80"/>
  <c r="L27" i="80" s="1"/>
  <c r="L47" i="80" s="1"/>
  <c r="L50" i="80" s="1"/>
  <c r="K35" i="80"/>
  <c r="O35" i="80"/>
  <c r="P36" i="80"/>
  <c r="O36" i="80" s="1"/>
  <c r="N36" i="80" s="1"/>
  <c r="K46" i="80"/>
  <c r="N16" i="80"/>
  <c r="L21" i="80"/>
  <c r="P21" i="80"/>
  <c r="M24" i="80"/>
  <c r="M27" i="80" s="1"/>
  <c r="M47" i="80" s="1"/>
  <c r="M50" i="80" s="1"/>
  <c r="N24" i="80"/>
  <c r="N27" i="80" s="1"/>
  <c r="N47" i="80" s="1"/>
  <c r="N50" i="80" s="1"/>
  <c r="J52" i="106"/>
  <c r="J55" i="106"/>
  <c r="N34" i="106"/>
  <c r="K35" i="106"/>
  <c r="L34" i="106"/>
  <c r="L37" i="106"/>
  <c r="K51" i="106"/>
  <c r="K55" i="106"/>
  <c r="D29" i="106"/>
  <c r="D27" i="106"/>
  <c r="D50" i="106" s="1"/>
  <c r="H29" i="106"/>
  <c r="G27" i="106"/>
  <c r="G50" i="106" s="1"/>
  <c r="E27" i="106"/>
  <c r="E50" i="106" s="1"/>
  <c r="F27" i="106"/>
  <c r="F50" i="106" s="1"/>
  <c r="K52" i="106"/>
  <c r="E17" i="106"/>
  <c r="H37" i="106"/>
  <c r="H46" i="106"/>
  <c r="J34" i="106"/>
  <c r="G13" i="106"/>
  <c r="M37" i="106"/>
  <c r="I46" i="106"/>
  <c r="I51" i="106"/>
  <c r="J51" i="106"/>
  <c r="K29" i="20"/>
  <c r="L29" i="20"/>
  <c r="K37" i="20"/>
  <c r="K17" i="20"/>
  <c r="L37" i="20"/>
  <c r="N46" i="20"/>
  <c r="N24" i="20"/>
  <c r="N27" i="20" s="1"/>
  <c r="N47" i="20" s="1"/>
  <c r="N50" i="20" s="1"/>
  <c r="R24" i="20"/>
  <c r="R27" i="20" s="1"/>
  <c r="R47" i="20" s="1"/>
  <c r="R29" i="20"/>
  <c r="K46" i="20"/>
  <c r="L17" i="20"/>
  <c r="N13" i="20"/>
  <c r="O24" i="20"/>
  <c r="O27" i="20" s="1"/>
  <c r="O47" i="20" s="1"/>
  <c r="S24" i="20"/>
  <c r="S27" i="20" s="1"/>
  <c r="S47" i="20" s="1"/>
  <c r="N37" i="20"/>
  <c r="L46" i="20"/>
  <c r="O55" i="125"/>
  <c r="N55" i="125"/>
  <c r="M55" i="125"/>
  <c r="L42" i="125"/>
  <c r="K42" i="125"/>
  <c r="L40" i="125"/>
  <c r="K40" i="125"/>
  <c r="J40" i="125"/>
  <c r="J41" i="125" s="1"/>
  <c r="I40" i="125"/>
  <c r="I41" i="125" s="1"/>
  <c r="O36" i="125"/>
  <c r="O37" i="125" s="1"/>
  <c r="K36" i="125"/>
  <c r="J36" i="125" s="1"/>
  <c r="I36" i="125" s="1"/>
  <c r="H36" i="125" s="1"/>
  <c r="N35" i="125"/>
  <c r="M35" i="125" s="1"/>
  <c r="L35" i="125" s="1"/>
  <c r="K35" i="125"/>
  <c r="O32" i="125"/>
  <c r="N32" i="125" s="1"/>
  <c r="M32" i="125" s="1"/>
  <c r="L32" i="125" s="1"/>
  <c r="K32" i="125"/>
  <c r="J32" i="125" s="1"/>
  <c r="I32" i="125" s="1"/>
  <c r="H32" i="125" s="1"/>
  <c r="N31" i="125"/>
  <c r="M31" i="125" s="1"/>
  <c r="L31" i="125" s="1"/>
  <c r="J31" i="125"/>
  <c r="I31" i="125" s="1"/>
  <c r="H31" i="125" s="1"/>
  <c r="N30" i="125"/>
  <c r="M30" i="125" s="1"/>
  <c r="L30" i="125" s="1"/>
  <c r="J30" i="125"/>
  <c r="I30" i="125" s="1"/>
  <c r="H30" i="125" s="1"/>
  <c r="L21" i="125"/>
  <c r="L20" i="125"/>
  <c r="L19" i="125"/>
  <c r="O16" i="125"/>
  <c r="O17" i="125" s="1"/>
  <c r="N16" i="125"/>
  <c r="N22" i="125" s="1"/>
  <c r="N29" i="125" s="1"/>
  <c r="M16" i="125"/>
  <c r="M22" i="125" s="1"/>
  <c r="M29" i="125" s="1"/>
  <c r="K16" i="125"/>
  <c r="K17" i="125" s="1"/>
  <c r="J16" i="125"/>
  <c r="J22" i="125" s="1"/>
  <c r="I16" i="125"/>
  <c r="K13" i="125"/>
  <c r="J13" i="125"/>
  <c r="I13" i="125"/>
  <c r="L12" i="125"/>
  <c r="J10" i="125"/>
  <c r="K10" i="125" s="1"/>
  <c r="L10" i="125" s="1"/>
  <c r="M10" i="125" s="1"/>
  <c r="N10" i="125" s="1"/>
  <c r="O10" i="125" s="1"/>
  <c r="J50" i="119"/>
  <c r="I48" i="119"/>
  <c r="G48" i="119" s="1"/>
  <c r="H48" i="119"/>
  <c r="I47" i="119"/>
  <c r="H47" i="119"/>
  <c r="L46" i="119"/>
  <c r="K46" i="119"/>
  <c r="I46" i="119"/>
  <c r="G46" i="119" s="1"/>
  <c r="H46" i="119"/>
  <c r="I44" i="119"/>
  <c r="G44" i="119" s="1"/>
  <c r="H44" i="119"/>
  <c r="J42" i="119"/>
  <c r="H42" i="119" s="1"/>
  <c r="G42" i="119"/>
  <c r="J41" i="119"/>
  <c r="H41" i="119" s="1"/>
  <c r="I40" i="119"/>
  <c r="G40" i="119" s="1"/>
  <c r="H40" i="119"/>
  <c r="I39" i="119"/>
  <c r="G39" i="119" s="1"/>
  <c r="H39" i="119"/>
  <c r="O37" i="119"/>
  <c r="N37" i="119"/>
  <c r="M37" i="119"/>
  <c r="L37" i="119"/>
  <c r="J37" i="119"/>
  <c r="I37" i="119"/>
  <c r="H37" i="119"/>
  <c r="K37" i="119"/>
  <c r="G36" i="119"/>
  <c r="G37" i="119" s="1"/>
  <c r="K29" i="119"/>
  <c r="G29" i="119"/>
  <c r="O22" i="119"/>
  <c r="O29" i="119" s="1"/>
  <c r="O34" i="119" s="1"/>
  <c r="L29" i="119"/>
  <c r="L34" i="119" s="1"/>
  <c r="J29" i="119"/>
  <c r="J34" i="119" s="1"/>
  <c r="I24" i="119"/>
  <c r="I27" i="119" s="1"/>
  <c r="O17" i="119"/>
  <c r="M17" i="119"/>
  <c r="L17" i="119"/>
  <c r="J17" i="119"/>
  <c r="I17" i="119"/>
  <c r="H17" i="119"/>
  <c r="K17" i="119"/>
  <c r="K13" i="119"/>
  <c r="J13" i="119"/>
  <c r="I13" i="119"/>
  <c r="H13" i="119"/>
  <c r="G13" i="119"/>
  <c r="K10" i="119"/>
  <c r="L10" i="119" s="1"/>
  <c r="M10" i="119" s="1"/>
  <c r="N10" i="119" s="1"/>
  <c r="O10" i="119" s="1"/>
  <c r="R55" i="96"/>
  <c r="Q55" i="96"/>
  <c r="P55" i="96"/>
  <c r="O50" i="96"/>
  <c r="O41" i="96"/>
  <c r="O53" i="96" s="1"/>
  <c r="N40" i="96"/>
  <c r="N41" i="96" s="1"/>
  <c r="R37" i="96"/>
  <c r="Q37" i="96"/>
  <c r="M37" i="96"/>
  <c r="L37" i="96"/>
  <c r="K37" i="96"/>
  <c r="P36" i="96"/>
  <c r="O36" i="96"/>
  <c r="O37" i="96" s="1"/>
  <c r="N35" i="96"/>
  <c r="M32" i="96"/>
  <c r="L32" i="96"/>
  <c r="K32" i="96"/>
  <c r="N31" i="96"/>
  <c r="L31" i="96"/>
  <c r="N30" i="96"/>
  <c r="R22" i="96"/>
  <c r="R29" i="96" s="1"/>
  <c r="R34" i="96" s="1"/>
  <c r="Q22" i="96"/>
  <c r="Q29" i="96" s="1"/>
  <c r="Q34" i="96" s="1"/>
  <c r="O22" i="96"/>
  <c r="N22" i="96"/>
  <c r="M22" i="96"/>
  <c r="K22" i="96"/>
  <c r="R17" i="96"/>
  <c r="Q17" i="96"/>
  <c r="O17" i="96"/>
  <c r="M17" i="96"/>
  <c r="K17" i="96"/>
  <c r="P16" i="96"/>
  <c r="P22" i="96" s="1"/>
  <c r="P29" i="96" s="1"/>
  <c r="P34" i="96" s="1"/>
  <c r="L16" i="96"/>
  <c r="L22" i="96" s="1"/>
  <c r="M13" i="96"/>
  <c r="K13" i="96"/>
  <c r="N12" i="96"/>
  <c r="N46" i="96" s="1"/>
  <c r="M46" i="96" s="1"/>
  <c r="L12" i="96"/>
  <c r="P10" i="96"/>
  <c r="Q10" i="96" s="1"/>
  <c r="R10" i="96" s="1"/>
  <c r="V55" i="34"/>
  <c r="U55" i="34"/>
  <c r="T55" i="34"/>
  <c r="R47" i="34"/>
  <c r="R46" i="34"/>
  <c r="P42" i="34"/>
  <c r="O42" i="34"/>
  <c r="N42" i="34"/>
  <c r="M42" i="34"/>
  <c r="L42" i="34"/>
  <c r="P41" i="34"/>
  <c r="S40" i="34"/>
  <c r="S50" i="34" s="1"/>
  <c r="R40" i="34"/>
  <c r="R41" i="34" s="1"/>
  <c r="Q40" i="34"/>
  <c r="Q41" i="34" s="1"/>
  <c r="O40" i="34"/>
  <c r="O41" i="34" s="1"/>
  <c r="N40" i="34"/>
  <c r="N41" i="34" s="1"/>
  <c r="M40" i="34"/>
  <c r="M41" i="34" s="1"/>
  <c r="L40" i="34"/>
  <c r="L41" i="34" s="1"/>
  <c r="V37" i="34"/>
  <c r="U37" i="34"/>
  <c r="T37" i="34"/>
  <c r="R37" i="34"/>
  <c r="Q37" i="34"/>
  <c r="N37" i="34"/>
  <c r="S36" i="34"/>
  <c r="P36" i="34"/>
  <c r="O36" i="34" s="1"/>
  <c r="M36" i="34"/>
  <c r="L36" i="34" s="1"/>
  <c r="K36" i="34" s="1"/>
  <c r="S35" i="34"/>
  <c r="P35" i="34"/>
  <c r="M35" i="34"/>
  <c r="L35" i="34" s="1"/>
  <c r="K35" i="34" s="1"/>
  <c r="S32" i="34"/>
  <c r="V31" i="34"/>
  <c r="U31" i="34" s="1"/>
  <c r="T31" i="34" s="1"/>
  <c r="S31" i="34" s="1"/>
  <c r="S30" i="34"/>
  <c r="V22" i="34"/>
  <c r="V29" i="34" s="1"/>
  <c r="U22" i="34"/>
  <c r="U29" i="34" s="1"/>
  <c r="T22" i="34"/>
  <c r="R22" i="34"/>
  <c r="R29" i="34" s="1"/>
  <c r="Q22" i="34"/>
  <c r="Q29" i="34" s="1"/>
  <c r="P22" i="34"/>
  <c r="P29" i="34" s="1"/>
  <c r="N22" i="34"/>
  <c r="N29" i="34" s="1"/>
  <c r="M22" i="34"/>
  <c r="L22" i="34"/>
  <c r="I24" i="34" s="1"/>
  <c r="I27" i="34" s="1"/>
  <c r="I47" i="34" s="1"/>
  <c r="V17" i="34"/>
  <c r="U17" i="34"/>
  <c r="T17" i="34"/>
  <c r="R17" i="34"/>
  <c r="Q17" i="34"/>
  <c r="P17" i="34"/>
  <c r="N17" i="34"/>
  <c r="M17" i="34"/>
  <c r="L17" i="34"/>
  <c r="S16" i="34"/>
  <c r="S22" i="34" s="1"/>
  <c r="O16" i="34"/>
  <c r="R13" i="34"/>
  <c r="Q13" i="34"/>
  <c r="P13" i="34"/>
  <c r="N13" i="34"/>
  <c r="M13" i="34"/>
  <c r="L13" i="34"/>
  <c r="S12" i="34"/>
  <c r="P46" i="34" s="1"/>
  <c r="O12" i="34"/>
  <c r="H34" i="106" l="1"/>
  <c r="I50" i="20"/>
  <c r="I52" i="20"/>
  <c r="I51" i="20"/>
  <c r="I51" i="73"/>
  <c r="I55" i="73"/>
  <c r="I52" i="73"/>
  <c r="I50" i="73"/>
  <c r="G48" i="73"/>
  <c r="G53" i="73" s="1"/>
  <c r="H48" i="73"/>
  <c r="H53" i="73" s="1"/>
  <c r="I48" i="73"/>
  <c r="I53" i="73" s="1"/>
  <c r="P48" i="123"/>
  <c r="P53" i="123" s="1"/>
  <c r="I55" i="34"/>
  <c r="I51" i="34"/>
  <c r="I50" i="34"/>
  <c r="I52" i="34"/>
  <c r="V34" i="34"/>
  <c r="N34" i="73"/>
  <c r="L48" i="123"/>
  <c r="J35" i="125"/>
  <c r="I35" i="125" s="1"/>
  <c r="M27" i="96"/>
  <c r="J26" i="122"/>
  <c r="J27" i="122" s="1"/>
  <c r="J47" i="122" s="1"/>
  <c r="G48" i="122"/>
  <c r="G53" i="122" s="1"/>
  <c r="F48" i="122"/>
  <c r="F53" i="122" s="1"/>
  <c r="G50" i="122"/>
  <c r="G51" i="122"/>
  <c r="G52" i="122"/>
  <c r="G55" i="122"/>
  <c r="I27" i="122"/>
  <c r="I47" i="122" s="1"/>
  <c r="H27" i="122"/>
  <c r="H47" i="122" s="1"/>
  <c r="K37" i="80"/>
  <c r="J35" i="80"/>
  <c r="J37" i="80" s="1"/>
  <c r="G48" i="80" s="1"/>
  <c r="J21" i="80"/>
  <c r="J17" i="80"/>
  <c r="M40" i="96"/>
  <c r="M41" i="96" s="1"/>
  <c r="L13" i="96"/>
  <c r="H13" i="96"/>
  <c r="K46" i="96"/>
  <c r="J34" i="96"/>
  <c r="N47" i="96"/>
  <c r="M47" i="96" s="1"/>
  <c r="P37" i="96"/>
  <c r="N36" i="96"/>
  <c r="I48" i="96"/>
  <c r="I53" i="96" s="1"/>
  <c r="H48" i="96"/>
  <c r="H53" i="96" s="1"/>
  <c r="H24" i="96"/>
  <c r="I24" i="96"/>
  <c r="J24" i="96"/>
  <c r="H53" i="3"/>
  <c r="I48" i="3"/>
  <c r="I53" i="3" s="1"/>
  <c r="L24" i="20"/>
  <c r="L27" i="20" s="1"/>
  <c r="L47" i="20" s="1"/>
  <c r="L50" i="20" s="1"/>
  <c r="P51" i="20"/>
  <c r="M24" i="20"/>
  <c r="M27" i="20" s="1"/>
  <c r="M47" i="20" s="1"/>
  <c r="M50" i="20" s="1"/>
  <c r="T51" i="20"/>
  <c r="N52" i="20"/>
  <c r="P50" i="20"/>
  <c r="K24" i="20"/>
  <c r="K27" i="20" s="1"/>
  <c r="K47" i="20" s="1"/>
  <c r="K50" i="20" s="1"/>
  <c r="H48" i="20"/>
  <c r="H53" i="20" s="1"/>
  <c r="I48" i="20"/>
  <c r="I53" i="20" s="1"/>
  <c r="J48" i="20"/>
  <c r="J53" i="20" s="1"/>
  <c r="T52" i="20"/>
  <c r="J50" i="73"/>
  <c r="J51" i="73"/>
  <c r="J55" i="73"/>
  <c r="J52" i="73"/>
  <c r="M29" i="34"/>
  <c r="J24" i="34"/>
  <c r="J27" i="34" s="1"/>
  <c r="J47" i="34" s="1"/>
  <c r="K48" i="3"/>
  <c r="K53" i="3" s="1"/>
  <c r="J48" i="3"/>
  <c r="J53" i="3" s="1"/>
  <c r="L50" i="73"/>
  <c r="L52" i="73"/>
  <c r="L55" i="73"/>
  <c r="L51" i="73"/>
  <c r="K51" i="73"/>
  <c r="K50" i="73"/>
  <c r="K55" i="73"/>
  <c r="K52" i="73"/>
  <c r="J48" i="96"/>
  <c r="J53" i="96" s="1"/>
  <c r="J24" i="20"/>
  <c r="J27" i="20" s="1"/>
  <c r="J47" i="20" s="1"/>
  <c r="L48" i="20"/>
  <c r="L53" i="20" s="1"/>
  <c r="R35" i="20"/>
  <c r="R37" i="20" s="1"/>
  <c r="H29" i="119"/>
  <c r="H34" i="119" s="1"/>
  <c r="G24" i="119"/>
  <c r="G27" i="119" s="1"/>
  <c r="F24" i="119"/>
  <c r="F27" i="119" s="1"/>
  <c r="L48" i="119"/>
  <c r="L53" i="119" s="1"/>
  <c r="H50" i="119"/>
  <c r="K34" i="119"/>
  <c r="G17" i="119"/>
  <c r="G33" i="119"/>
  <c r="G34" i="119" s="1"/>
  <c r="H50" i="106"/>
  <c r="H51" i="106"/>
  <c r="H55" i="106"/>
  <c r="F53" i="106"/>
  <c r="N34" i="34"/>
  <c r="K34" i="34"/>
  <c r="K37" i="34"/>
  <c r="M37" i="34"/>
  <c r="U34" i="34"/>
  <c r="L29" i="34"/>
  <c r="K24" i="34"/>
  <c r="K27" i="34" s="1"/>
  <c r="K47" i="34" s="1"/>
  <c r="Q34" i="34"/>
  <c r="M46" i="34"/>
  <c r="K13" i="34"/>
  <c r="R34" i="34"/>
  <c r="R50" i="34"/>
  <c r="L33" i="125"/>
  <c r="K46" i="125"/>
  <c r="H13" i="125"/>
  <c r="I22" i="125"/>
  <c r="I29" i="125" s="1"/>
  <c r="H16" i="125"/>
  <c r="N17" i="125"/>
  <c r="L16" i="125"/>
  <c r="L22" i="125" s="1"/>
  <c r="L29" i="125" s="1"/>
  <c r="J17" i="125"/>
  <c r="R24" i="34"/>
  <c r="R27" i="34" s="1"/>
  <c r="S29" i="34"/>
  <c r="D52" i="106"/>
  <c r="O17" i="34"/>
  <c r="P37" i="80"/>
  <c r="Q16" i="123"/>
  <c r="Q17" i="123" s="1"/>
  <c r="L46" i="96"/>
  <c r="O24" i="96"/>
  <c r="O25" i="96" s="1"/>
  <c r="H55" i="119"/>
  <c r="I17" i="125"/>
  <c r="O22" i="125"/>
  <c r="O29" i="125" s="1"/>
  <c r="Q50" i="20"/>
  <c r="E51" i="106"/>
  <c r="K51" i="80"/>
  <c r="K52" i="80"/>
  <c r="O22" i="34"/>
  <c r="M24" i="34" s="1"/>
  <c r="M27" i="34" s="1"/>
  <c r="M47" i="34" s="1"/>
  <c r="M50" i="34" s="1"/>
  <c r="I50" i="119"/>
  <c r="S17" i="34"/>
  <c r="L52" i="20"/>
  <c r="R17" i="123"/>
  <c r="G53" i="106"/>
  <c r="O51" i="96"/>
  <c r="E55" i="106"/>
  <c r="S24" i="34"/>
  <c r="S27" i="34" s="1"/>
  <c r="P37" i="34"/>
  <c r="N17" i="96"/>
  <c r="H24" i="119"/>
  <c r="H27" i="119" s="1"/>
  <c r="J37" i="125"/>
  <c r="N48" i="20"/>
  <c r="N53" i="20" s="1"/>
  <c r="Q51" i="20"/>
  <c r="D51" i="106"/>
  <c r="D55" i="106"/>
  <c r="R24" i="123"/>
  <c r="R27" i="123" s="1"/>
  <c r="O48" i="123"/>
  <c r="O53" i="123" s="1"/>
  <c r="O46" i="34"/>
  <c r="L37" i="34"/>
  <c r="K22" i="125"/>
  <c r="K29" i="125" s="1"/>
  <c r="S37" i="34"/>
  <c r="S48" i="34" s="1"/>
  <c r="K48" i="119"/>
  <c r="K53" i="119" s="1"/>
  <c r="M17" i="125"/>
  <c r="K37" i="125"/>
  <c r="H52" i="106"/>
  <c r="Q34" i="73"/>
  <c r="O50" i="73"/>
  <c r="O52" i="73"/>
  <c r="O55" i="73"/>
  <c r="O51" i="73"/>
  <c r="Q55" i="73"/>
  <c r="Q50" i="73"/>
  <c r="Q51" i="73"/>
  <c r="Q52" i="73"/>
  <c r="N25" i="73"/>
  <c r="N27" i="73" s="1"/>
  <c r="N47" i="73" s="1"/>
  <c r="P27" i="73"/>
  <c r="P47" i="73" s="1"/>
  <c r="M53" i="123"/>
  <c r="M52" i="123"/>
  <c r="M51" i="123"/>
  <c r="N53" i="123"/>
  <c r="N52" i="123"/>
  <c r="N51" i="123"/>
  <c r="M17" i="123"/>
  <c r="M22" i="123"/>
  <c r="M52" i="80"/>
  <c r="N51" i="80"/>
  <c r="L51" i="80"/>
  <c r="K55" i="80"/>
  <c r="M51" i="80"/>
  <c r="L55" i="80"/>
  <c r="N55" i="80"/>
  <c r="N52" i="80"/>
  <c r="N17" i="80"/>
  <c r="N21" i="80"/>
  <c r="O37" i="80"/>
  <c r="N35" i="80"/>
  <c r="N37" i="80" s="1"/>
  <c r="L52" i="80"/>
  <c r="M55" i="80"/>
  <c r="G52" i="106"/>
  <c r="F52" i="106"/>
  <c r="F51" i="106"/>
  <c r="E53" i="106"/>
  <c r="G51" i="106"/>
  <c r="D53" i="106"/>
  <c r="G55" i="106"/>
  <c r="F55" i="106"/>
  <c r="K37" i="106"/>
  <c r="K34" i="106"/>
  <c r="E52" i="106"/>
  <c r="O52" i="20"/>
  <c r="O50" i="20"/>
  <c r="O51" i="20"/>
  <c r="N51" i="20"/>
  <c r="R50" i="20"/>
  <c r="R51" i="20"/>
  <c r="K48" i="20"/>
  <c r="K53" i="20" s="1"/>
  <c r="S50" i="20"/>
  <c r="S51" i="20"/>
  <c r="S52" i="20"/>
  <c r="R52" i="20"/>
  <c r="M48" i="20"/>
  <c r="M53" i="20" s="1"/>
  <c r="J29" i="125"/>
  <c r="N36" i="125"/>
  <c r="M36" i="125" s="1"/>
  <c r="L36" i="125" s="1"/>
  <c r="L46" i="125"/>
  <c r="I46" i="125"/>
  <c r="J46" i="125"/>
  <c r="H53" i="119"/>
  <c r="H52" i="119"/>
  <c r="H51" i="119"/>
  <c r="J53" i="119"/>
  <c r="J55" i="119"/>
  <c r="I29" i="119"/>
  <c r="I34" i="119" s="1"/>
  <c r="M29" i="119"/>
  <c r="M34" i="119" s="1"/>
  <c r="I41" i="119"/>
  <c r="I53" i="119" s="1"/>
  <c r="I42" i="119"/>
  <c r="G47" i="119"/>
  <c r="G50" i="119" s="1"/>
  <c r="J51" i="119"/>
  <c r="J52" i="119"/>
  <c r="J24" i="119"/>
  <c r="J27" i="119" s="1"/>
  <c r="L29" i="96"/>
  <c r="L34" i="96" s="1"/>
  <c r="L24" i="96"/>
  <c r="K24" i="96"/>
  <c r="K27" i="96" s="1"/>
  <c r="K47" i="96" s="1"/>
  <c r="L27" i="96"/>
  <c r="L17" i="96"/>
  <c r="P17" i="96"/>
  <c r="K29" i="96"/>
  <c r="K34" i="96" s="1"/>
  <c r="O29" i="96"/>
  <c r="O34" i="96" s="1"/>
  <c r="N37" i="96"/>
  <c r="N48" i="96" s="1"/>
  <c r="L40" i="96"/>
  <c r="O55" i="96"/>
  <c r="M24" i="96"/>
  <c r="N24" i="96"/>
  <c r="M29" i="96"/>
  <c r="M34" i="96" s="1"/>
  <c r="O52" i="96"/>
  <c r="N13" i="96"/>
  <c r="N29" i="96"/>
  <c r="N34" i="96" s="1"/>
  <c r="M34" i="34"/>
  <c r="R55" i="34"/>
  <c r="R52" i="34"/>
  <c r="R51" i="34"/>
  <c r="O13" i="34"/>
  <c r="S41" i="34"/>
  <c r="N46" i="34"/>
  <c r="S34" i="34"/>
  <c r="P24" i="34"/>
  <c r="P27" i="34" s="1"/>
  <c r="P47" i="34" s="1"/>
  <c r="P50" i="34" s="1"/>
  <c r="T29" i="34"/>
  <c r="T34" i="34" s="1"/>
  <c r="L34" i="34"/>
  <c r="P34" i="34"/>
  <c r="L46" i="34"/>
  <c r="Q24" i="34"/>
  <c r="Q27" i="34" s="1"/>
  <c r="Q47" i="34" s="1"/>
  <c r="Q50" i="34" s="1"/>
  <c r="O35" i="34"/>
  <c r="Y55" i="83"/>
  <c r="X55" i="83"/>
  <c r="W55" i="83"/>
  <c r="V42" i="83"/>
  <c r="U42" i="83"/>
  <c r="T42" i="83"/>
  <c r="S42" i="83"/>
  <c r="R42" i="83"/>
  <c r="Q42" i="83"/>
  <c r="P42" i="83"/>
  <c r="O42" i="83"/>
  <c r="N42" i="83"/>
  <c r="M42" i="83"/>
  <c r="V41" i="83"/>
  <c r="U40" i="83"/>
  <c r="T40" i="83"/>
  <c r="S40" i="83"/>
  <c r="R40" i="83"/>
  <c r="Q40" i="83"/>
  <c r="P40" i="83"/>
  <c r="O40" i="83"/>
  <c r="N40" i="83"/>
  <c r="N41" i="83" s="1"/>
  <c r="M40" i="83"/>
  <c r="M41" i="83" s="1"/>
  <c r="W37" i="83"/>
  <c r="S37" i="83"/>
  <c r="O37" i="83"/>
  <c r="Y36" i="83"/>
  <c r="X36" i="83"/>
  <c r="V36" i="83"/>
  <c r="U36" i="83" s="1"/>
  <c r="T36" i="83" s="1"/>
  <c r="R36" i="83"/>
  <c r="Q36" i="83" s="1"/>
  <c r="P36" i="83" s="1"/>
  <c r="N36" i="83"/>
  <c r="M36" i="83" s="1"/>
  <c r="L36" i="83" s="1"/>
  <c r="Y35" i="83"/>
  <c r="X35" i="83"/>
  <c r="V35" i="83"/>
  <c r="U35" i="83" s="1"/>
  <c r="R35" i="83"/>
  <c r="N35" i="83"/>
  <c r="M35" i="83" s="1"/>
  <c r="L35" i="83" s="1"/>
  <c r="Y32" i="83"/>
  <c r="X32" i="83"/>
  <c r="W32" i="83"/>
  <c r="V32" i="83" s="1"/>
  <c r="U32" i="83" s="1"/>
  <c r="T32" i="83" s="1"/>
  <c r="S32" i="83"/>
  <c r="R32" i="83" s="1"/>
  <c r="Q32" i="83" s="1"/>
  <c r="P32" i="83" s="1"/>
  <c r="N32" i="83"/>
  <c r="M32" i="83" s="1"/>
  <c r="L32" i="83" s="1"/>
  <c r="Y31" i="83"/>
  <c r="X31" i="83"/>
  <c r="V31" i="83"/>
  <c r="U31" i="83" s="1"/>
  <c r="T31" i="83" s="1"/>
  <c r="R31" i="83"/>
  <c r="Q31" i="83" s="1"/>
  <c r="P31" i="83" s="1"/>
  <c r="N31" i="83"/>
  <c r="M31" i="83" s="1"/>
  <c r="L31" i="83" s="1"/>
  <c r="Y30" i="83"/>
  <c r="X30" i="83"/>
  <c r="V30" i="83"/>
  <c r="U30" i="83" s="1"/>
  <c r="R30" i="83"/>
  <c r="Q30" i="83" s="1"/>
  <c r="N30" i="83"/>
  <c r="M30" i="83" s="1"/>
  <c r="L30" i="83" s="1"/>
  <c r="W22" i="83"/>
  <c r="W29" i="83" s="1"/>
  <c r="V22" i="83"/>
  <c r="V29" i="83" s="1"/>
  <c r="U22" i="83"/>
  <c r="U29" i="83" s="1"/>
  <c r="T22" i="83"/>
  <c r="T29" i="83" s="1"/>
  <c r="S22" i="83"/>
  <c r="S29" i="83" s="1"/>
  <c r="R22" i="83"/>
  <c r="R29" i="83" s="1"/>
  <c r="Q22" i="83"/>
  <c r="Q29" i="83" s="1"/>
  <c r="P22" i="83"/>
  <c r="P29" i="83" s="1"/>
  <c r="O22" i="83"/>
  <c r="N29" i="83"/>
  <c r="M22" i="83"/>
  <c r="Y21" i="83"/>
  <c r="Y22" i="83" s="1"/>
  <c r="Y29" i="83" s="1"/>
  <c r="X21" i="83"/>
  <c r="X22" i="83" s="1"/>
  <c r="X29" i="83" s="1"/>
  <c r="Y17" i="83"/>
  <c r="W17" i="83"/>
  <c r="V17" i="83"/>
  <c r="U17" i="83"/>
  <c r="S17" i="83"/>
  <c r="R17" i="83"/>
  <c r="Q17" i="83"/>
  <c r="O17" i="83"/>
  <c r="N17" i="83"/>
  <c r="U13" i="83"/>
  <c r="S13" i="83"/>
  <c r="R13" i="83"/>
  <c r="Q13" i="83"/>
  <c r="O13" i="83"/>
  <c r="N13" i="83"/>
  <c r="X12" i="83"/>
  <c r="X17" i="83" s="1"/>
  <c r="T12" i="83"/>
  <c r="S46" i="83" s="1"/>
  <c r="P12" i="83"/>
  <c r="O46" i="83" s="1"/>
  <c r="M12" i="83"/>
  <c r="Y55" i="48"/>
  <c r="X55" i="48"/>
  <c r="W55" i="48"/>
  <c r="V46" i="48"/>
  <c r="U46" i="48"/>
  <c r="T46" i="48"/>
  <c r="S46" i="48"/>
  <c r="R46" i="48"/>
  <c r="Q46" i="48"/>
  <c r="V42" i="48"/>
  <c r="U42" i="48"/>
  <c r="T42" i="48"/>
  <c r="S42" i="48"/>
  <c r="R42" i="48"/>
  <c r="Q42" i="48"/>
  <c r="P42" i="48"/>
  <c r="O42" i="48"/>
  <c r="N42" i="48"/>
  <c r="M42" i="48"/>
  <c r="O41" i="48"/>
  <c r="N41" i="48"/>
  <c r="M41" i="48"/>
  <c r="V40" i="48"/>
  <c r="V41" i="48" s="1"/>
  <c r="U40" i="48"/>
  <c r="U41" i="48" s="1"/>
  <c r="T40" i="48"/>
  <c r="T41" i="48" s="1"/>
  <c r="S40" i="48"/>
  <c r="S41" i="48" s="1"/>
  <c r="R40" i="48"/>
  <c r="R41" i="48" s="1"/>
  <c r="Q40" i="48"/>
  <c r="Q41" i="48" s="1"/>
  <c r="P40" i="48"/>
  <c r="P41" i="48" s="1"/>
  <c r="X37" i="48"/>
  <c r="W37" i="48"/>
  <c r="T37" i="48"/>
  <c r="S37" i="48"/>
  <c r="O37" i="48"/>
  <c r="Y36" i="48"/>
  <c r="V36" i="48"/>
  <c r="U36" i="48" s="1"/>
  <c r="R36" i="48"/>
  <c r="Q36" i="48" s="1"/>
  <c r="P36" i="48" s="1"/>
  <c r="N36" i="48"/>
  <c r="M36" i="48" s="1"/>
  <c r="L36" i="48" s="1"/>
  <c r="Y35" i="48"/>
  <c r="V35" i="48"/>
  <c r="V37" i="48" s="1"/>
  <c r="R35" i="48"/>
  <c r="N35" i="48"/>
  <c r="Y32" i="48"/>
  <c r="W32" i="48"/>
  <c r="V32" i="48" s="1"/>
  <c r="U32" i="48" s="1"/>
  <c r="T32" i="48" s="1"/>
  <c r="S32" i="48"/>
  <c r="R32" i="48" s="1"/>
  <c r="Q32" i="48" s="1"/>
  <c r="P32" i="48" s="1"/>
  <c r="N32" i="48"/>
  <c r="T31" i="48"/>
  <c r="P31" i="48"/>
  <c r="T30" i="48"/>
  <c r="P30" i="48"/>
  <c r="V22" i="48"/>
  <c r="V29" i="48" s="1"/>
  <c r="V17" i="48"/>
  <c r="Y16" i="48"/>
  <c r="Y22" i="48" s="1"/>
  <c r="Y29" i="48" s="1"/>
  <c r="X16" i="48"/>
  <c r="X17" i="48" s="1"/>
  <c r="W16" i="48"/>
  <c r="W22" i="48" s="1"/>
  <c r="W29" i="48" s="1"/>
  <c r="U16" i="48"/>
  <c r="U17" i="48" s="1"/>
  <c r="S16" i="48"/>
  <c r="S22" i="48" s="1"/>
  <c r="R16" i="48"/>
  <c r="O16" i="48"/>
  <c r="O22" i="48" s="1"/>
  <c r="N16" i="48"/>
  <c r="N17" i="48" s="1"/>
  <c r="M16" i="48"/>
  <c r="U13" i="48"/>
  <c r="T13" i="48"/>
  <c r="S13" i="48"/>
  <c r="R13" i="48"/>
  <c r="Q13" i="48"/>
  <c r="O13" i="48"/>
  <c r="N13" i="48"/>
  <c r="P12" i="48"/>
  <c r="P46" i="48" s="1"/>
  <c r="M13" i="48"/>
  <c r="Q55" i="95"/>
  <c r="O55" i="95"/>
  <c r="N55" i="95"/>
  <c r="Q50" i="95"/>
  <c r="O46" i="95"/>
  <c r="N46" i="95"/>
  <c r="P44" i="95"/>
  <c r="P42" i="95"/>
  <c r="P55" i="95" s="1"/>
  <c r="M42" i="95"/>
  <c r="Q41" i="95"/>
  <c r="Q53" i="95" s="1"/>
  <c r="O41" i="95"/>
  <c r="P40" i="95"/>
  <c r="N40" i="95"/>
  <c r="N41" i="95" s="1"/>
  <c r="M40" i="95"/>
  <c r="M41" i="95" s="1"/>
  <c r="P39" i="95"/>
  <c r="T37" i="95"/>
  <c r="S37" i="95"/>
  <c r="R37" i="95"/>
  <c r="O37" i="95"/>
  <c r="O48" i="95" s="1"/>
  <c r="O53" i="95" s="1"/>
  <c r="Q36" i="95"/>
  <c r="P36" i="95" s="1"/>
  <c r="N36" i="95"/>
  <c r="M36" i="95" s="1"/>
  <c r="L36" i="95" s="1"/>
  <c r="Q35" i="95"/>
  <c r="P35" i="95" s="1"/>
  <c r="N35" i="95"/>
  <c r="M35" i="95" s="1"/>
  <c r="L35" i="95" s="1"/>
  <c r="Q32" i="95"/>
  <c r="P32" i="95" s="1"/>
  <c r="N32" i="95"/>
  <c r="M32" i="95" s="1"/>
  <c r="L32" i="95" s="1"/>
  <c r="R31" i="95"/>
  <c r="Q31" i="95" s="1"/>
  <c r="P31" i="95" s="1"/>
  <c r="N31" i="95"/>
  <c r="M31" i="95" s="1"/>
  <c r="L31" i="95" s="1"/>
  <c r="R30" i="95"/>
  <c r="Q30" i="95" s="1"/>
  <c r="P30" i="95" s="1"/>
  <c r="N30" i="95"/>
  <c r="M30" i="95" s="1"/>
  <c r="L30" i="95" s="1"/>
  <c r="T22" i="95"/>
  <c r="T29" i="95" s="1"/>
  <c r="S22" i="95"/>
  <c r="R22" i="95"/>
  <c r="R29" i="95" s="1"/>
  <c r="Q22" i="95"/>
  <c r="Q29" i="95" s="1"/>
  <c r="O22" i="95"/>
  <c r="O29" i="95" s="1"/>
  <c r="N22" i="95"/>
  <c r="N47" i="95" s="1"/>
  <c r="M22" i="95"/>
  <c r="T17" i="95"/>
  <c r="S17" i="95"/>
  <c r="R17" i="95"/>
  <c r="Q17" i="95"/>
  <c r="O17" i="95"/>
  <c r="N17" i="95"/>
  <c r="O13" i="95"/>
  <c r="N13" i="95"/>
  <c r="P12" i="95"/>
  <c r="P13" i="95" s="1"/>
  <c r="M12" i="95"/>
  <c r="I13" i="95" s="1"/>
  <c r="R10" i="95"/>
  <c r="S10" i="95" s="1"/>
  <c r="T10" i="95" s="1"/>
  <c r="X55" i="25"/>
  <c r="W55" i="25"/>
  <c r="V55" i="25"/>
  <c r="U42" i="25"/>
  <c r="T42" i="25"/>
  <c r="S42" i="25"/>
  <c r="R42" i="25"/>
  <c r="Q42" i="25"/>
  <c r="P42" i="25"/>
  <c r="O42" i="25"/>
  <c r="N42" i="25"/>
  <c r="M42" i="25"/>
  <c r="L42" i="25"/>
  <c r="M41" i="25"/>
  <c r="L41" i="25"/>
  <c r="U40" i="25"/>
  <c r="U41" i="25" s="1"/>
  <c r="T40" i="25"/>
  <c r="T41" i="25" s="1"/>
  <c r="S40" i="25"/>
  <c r="S41" i="25" s="1"/>
  <c r="R40" i="25"/>
  <c r="R41" i="25" s="1"/>
  <c r="Q40" i="25"/>
  <c r="Q41" i="25" s="1"/>
  <c r="P40" i="25"/>
  <c r="P41" i="25" s="1"/>
  <c r="O40" i="25"/>
  <c r="O41" i="25" s="1"/>
  <c r="N40" i="25"/>
  <c r="N41" i="25" s="1"/>
  <c r="U37" i="25"/>
  <c r="Q37" i="25"/>
  <c r="M37" i="25"/>
  <c r="X36" i="25"/>
  <c r="W36" i="25"/>
  <c r="V36" i="25"/>
  <c r="T36" i="25"/>
  <c r="S36" i="25" s="1"/>
  <c r="P36" i="25"/>
  <c r="O36" i="25" s="1"/>
  <c r="L36" i="25"/>
  <c r="K36" i="25" s="1"/>
  <c r="J36" i="25" s="1"/>
  <c r="X35" i="25"/>
  <c r="W35" i="25"/>
  <c r="V35" i="25"/>
  <c r="T35" i="25"/>
  <c r="P35" i="25"/>
  <c r="O35" i="25" s="1"/>
  <c r="L35" i="25"/>
  <c r="K35" i="25" s="1"/>
  <c r="X32" i="25"/>
  <c r="W32" i="25"/>
  <c r="V32" i="25"/>
  <c r="U32" i="25"/>
  <c r="T32" i="25" s="1"/>
  <c r="S32" i="25" s="1"/>
  <c r="R32" i="25" s="1"/>
  <c r="Q32" i="25"/>
  <c r="P32" i="25" s="1"/>
  <c r="O32" i="25" s="1"/>
  <c r="N32" i="25" s="1"/>
  <c r="M32" i="25"/>
  <c r="L32" i="25" s="1"/>
  <c r="K32" i="25" s="1"/>
  <c r="J32" i="25" s="1"/>
  <c r="X31" i="25"/>
  <c r="W31" i="25"/>
  <c r="V31" i="25"/>
  <c r="T31" i="25"/>
  <c r="S31" i="25" s="1"/>
  <c r="R31" i="25" s="1"/>
  <c r="P31" i="25"/>
  <c r="O31" i="25" s="1"/>
  <c r="N31" i="25" s="1"/>
  <c r="L31" i="25"/>
  <c r="K31" i="25" s="1"/>
  <c r="J31" i="25" s="1"/>
  <c r="X30" i="25"/>
  <c r="W30" i="25"/>
  <c r="V30" i="25"/>
  <c r="T30" i="25"/>
  <c r="S30" i="25" s="1"/>
  <c r="P30" i="25"/>
  <c r="O30" i="25" s="1"/>
  <c r="L30" i="25"/>
  <c r="K30" i="25" s="1"/>
  <c r="J30" i="25" s="1"/>
  <c r="P29" i="25"/>
  <c r="L29" i="25"/>
  <c r="W21" i="25"/>
  <c r="V21" i="25"/>
  <c r="T21" i="25"/>
  <c r="S21" i="25" s="1"/>
  <c r="R21" i="25" s="1"/>
  <c r="P21" i="25"/>
  <c r="P16" i="25" s="1"/>
  <c r="X20" i="25"/>
  <c r="W20" i="25"/>
  <c r="V20" i="25"/>
  <c r="S20" i="25"/>
  <c r="R20" i="25" s="1"/>
  <c r="X16" i="25"/>
  <c r="X17" i="25" s="1"/>
  <c r="W16" i="25"/>
  <c r="W17" i="25" s="1"/>
  <c r="V16" i="25"/>
  <c r="U16" i="25"/>
  <c r="U17" i="25" s="1"/>
  <c r="Q16" i="25"/>
  <c r="Q22" i="25" s="1"/>
  <c r="M16" i="25"/>
  <c r="M22" i="25" s="1"/>
  <c r="L16" i="25"/>
  <c r="L17" i="25" s="1"/>
  <c r="T13" i="25"/>
  <c r="S13" i="25"/>
  <c r="Q13" i="25"/>
  <c r="P13" i="25"/>
  <c r="O13" i="25"/>
  <c r="M13" i="25"/>
  <c r="V12" i="25"/>
  <c r="U46" i="25" s="1"/>
  <c r="R12" i="25"/>
  <c r="R46" i="25" s="1"/>
  <c r="N12" i="25"/>
  <c r="N46" i="25" s="1"/>
  <c r="Y55" i="8"/>
  <c r="X55" i="8"/>
  <c r="W55" i="8"/>
  <c r="V42" i="8"/>
  <c r="U42" i="8"/>
  <c r="T42" i="8"/>
  <c r="S42" i="8"/>
  <c r="R42" i="8"/>
  <c r="Q42" i="8"/>
  <c r="P42" i="8"/>
  <c r="O42" i="8"/>
  <c r="N42" i="8"/>
  <c r="M42" i="8"/>
  <c r="V40" i="8"/>
  <c r="U40" i="8"/>
  <c r="T40" i="8"/>
  <c r="S40" i="8"/>
  <c r="R40" i="8"/>
  <c r="Q40" i="8"/>
  <c r="P40" i="8"/>
  <c r="P41" i="8" s="1"/>
  <c r="O40" i="8"/>
  <c r="O41" i="8" s="1"/>
  <c r="N40" i="8"/>
  <c r="N41" i="8" s="1"/>
  <c r="M40" i="8"/>
  <c r="M41" i="8" s="1"/>
  <c r="W37" i="8"/>
  <c r="S37" i="8"/>
  <c r="O37" i="8"/>
  <c r="Y36" i="8"/>
  <c r="X36" i="8"/>
  <c r="X37" i="8" s="1"/>
  <c r="V36" i="8"/>
  <c r="R36" i="8"/>
  <c r="N36" i="8"/>
  <c r="M36" i="8" s="1"/>
  <c r="L36" i="8" s="1"/>
  <c r="Y35" i="8"/>
  <c r="X35" i="8"/>
  <c r="V35" i="8"/>
  <c r="U35" i="8" s="1"/>
  <c r="T35" i="8" s="1"/>
  <c r="R35" i="8"/>
  <c r="Q35" i="8" s="1"/>
  <c r="N35" i="8"/>
  <c r="Y32" i="8"/>
  <c r="X32" i="8"/>
  <c r="W32" i="8"/>
  <c r="S32" i="8"/>
  <c r="O32" i="8"/>
  <c r="N32" i="8" s="1"/>
  <c r="M32" i="8" s="1"/>
  <c r="L32" i="8" s="1"/>
  <c r="Y31" i="8"/>
  <c r="X31" i="8"/>
  <c r="V31" i="8"/>
  <c r="U31" i="8" s="1"/>
  <c r="T31" i="8" s="1"/>
  <c r="R31" i="8"/>
  <c r="N31" i="8"/>
  <c r="M31" i="8" s="1"/>
  <c r="L31" i="8" s="1"/>
  <c r="Y30" i="8"/>
  <c r="X30" i="8"/>
  <c r="V30" i="8"/>
  <c r="U30" i="8" s="1"/>
  <c r="R30" i="8"/>
  <c r="Q30" i="8" s="1"/>
  <c r="P30" i="8" s="1"/>
  <c r="N30" i="8"/>
  <c r="M30" i="8" s="1"/>
  <c r="L30" i="8" s="1"/>
  <c r="Y29" i="8"/>
  <c r="X29" i="8"/>
  <c r="W29" i="8"/>
  <c r="V29" i="8"/>
  <c r="U29" i="8"/>
  <c r="T29" i="8"/>
  <c r="S29" i="8"/>
  <c r="R29" i="8"/>
  <c r="P29" i="8"/>
  <c r="O29" i="8"/>
  <c r="V24" i="8"/>
  <c r="V27" i="8" s="1"/>
  <c r="V47" i="8" s="1"/>
  <c r="U24" i="8"/>
  <c r="U27" i="8" s="1"/>
  <c r="U47" i="8" s="1"/>
  <c r="T24" i="8"/>
  <c r="T27" i="8" s="1"/>
  <c r="T47" i="8" s="1"/>
  <c r="S24" i="8"/>
  <c r="S27" i="8" s="1"/>
  <c r="S47" i="8" s="1"/>
  <c r="R24" i="8"/>
  <c r="R27" i="8" s="1"/>
  <c r="R47" i="8" s="1"/>
  <c r="Y21" i="8"/>
  <c r="X21" i="8"/>
  <c r="W21" i="8"/>
  <c r="V21" i="8"/>
  <c r="U21" i="8"/>
  <c r="T21" i="8"/>
  <c r="S21" i="8"/>
  <c r="R21" i="8"/>
  <c r="P21" i="8"/>
  <c r="Y17" i="8"/>
  <c r="W17" i="8"/>
  <c r="V17" i="8"/>
  <c r="U17" i="8"/>
  <c r="S17" i="8"/>
  <c r="R17" i="8"/>
  <c r="Q16" i="8"/>
  <c r="Q17" i="8" s="1"/>
  <c r="O16" i="8"/>
  <c r="O21" i="8" s="1"/>
  <c r="N16" i="8"/>
  <c r="N17" i="8" s="1"/>
  <c r="M16" i="8"/>
  <c r="U13" i="8"/>
  <c r="S13" i="8"/>
  <c r="R13" i="8"/>
  <c r="Q13" i="8"/>
  <c r="O13" i="8"/>
  <c r="N13" i="8"/>
  <c r="M13" i="8"/>
  <c r="X12" i="8"/>
  <c r="X17" i="8" s="1"/>
  <c r="T12" i="8"/>
  <c r="S46" i="8" s="1"/>
  <c r="P12" i="8"/>
  <c r="N22" i="48" l="1"/>
  <c r="N29" i="48" s="1"/>
  <c r="U35" i="48"/>
  <c r="L24" i="34"/>
  <c r="L27" i="34" s="1"/>
  <c r="L47" i="34" s="1"/>
  <c r="L50" i="34" s="1"/>
  <c r="N50" i="96"/>
  <c r="P17" i="95"/>
  <c r="N37" i="8"/>
  <c r="X37" i="25"/>
  <c r="N29" i="95"/>
  <c r="Y37" i="83"/>
  <c r="O24" i="34"/>
  <c r="O27" i="34" s="1"/>
  <c r="O47" i="34" s="1"/>
  <c r="O50" i="34" s="1"/>
  <c r="L24" i="123"/>
  <c r="L26" i="123" s="1"/>
  <c r="L27" i="123" s="1"/>
  <c r="L47" i="123" s="1"/>
  <c r="K24" i="123"/>
  <c r="J24" i="123"/>
  <c r="M13" i="83"/>
  <c r="I13" i="83"/>
  <c r="L12" i="83"/>
  <c r="L17" i="125"/>
  <c r="R37" i="48"/>
  <c r="N51" i="96"/>
  <c r="L24" i="125"/>
  <c r="L27" i="125" s="1"/>
  <c r="L47" i="125" s="1"/>
  <c r="L55" i="125" s="1"/>
  <c r="Q17" i="25"/>
  <c r="J24" i="95"/>
  <c r="J27" i="95" s="1"/>
  <c r="J47" i="95" s="1"/>
  <c r="K24" i="95"/>
  <c r="K27" i="95" s="1"/>
  <c r="K47" i="95" s="1"/>
  <c r="N52" i="96"/>
  <c r="K48" i="123"/>
  <c r="L53" i="123"/>
  <c r="K48" i="34"/>
  <c r="K53" i="34" s="1"/>
  <c r="I48" i="34"/>
  <c r="I53" i="34" s="1"/>
  <c r="J48" i="34"/>
  <c r="J53" i="34" s="1"/>
  <c r="H48" i="34"/>
  <c r="H53" i="34" s="1"/>
  <c r="P35" i="8"/>
  <c r="V37" i="25"/>
  <c r="N50" i="95"/>
  <c r="Q48" i="34"/>
  <c r="Q53" i="34" s="1"/>
  <c r="N55" i="96"/>
  <c r="O46" i="8"/>
  <c r="L13" i="8"/>
  <c r="R37" i="8"/>
  <c r="K48" i="80"/>
  <c r="K53" i="80" s="1"/>
  <c r="M32" i="48"/>
  <c r="L32" i="48" s="1"/>
  <c r="O46" i="48"/>
  <c r="L13" i="48"/>
  <c r="L16" i="48"/>
  <c r="R17" i="48"/>
  <c r="Q16" i="48"/>
  <c r="R22" i="48"/>
  <c r="R29" i="48" s="1"/>
  <c r="N37" i="48"/>
  <c r="Q35" i="48"/>
  <c r="P35" i="48" s="1"/>
  <c r="P37" i="48" s="1"/>
  <c r="H35" i="125"/>
  <c r="H37" i="125" s="1"/>
  <c r="I37" i="125"/>
  <c r="J24" i="125"/>
  <c r="J27" i="125" s="1"/>
  <c r="J47" i="125" s="1"/>
  <c r="J50" i="125" s="1"/>
  <c r="M51" i="96"/>
  <c r="I51" i="122"/>
  <c r="I50" i="122"/>
  <c r="I55" i="122"/>
  <c r="I52" i="122"/>
  <c r="J52" i="122"/>
  <c r="J55" i="122"/>
  <c r="J51" i="122"/>
  <c r="J50" i="122"/>
  <c r="H50" i="122"/>
  <c r="H55" i="122"/>
  <c r="H52" i="122"/>
  <c r="H51" i="122"/>
  <c r="H48" i="80"/>
  <c r="H53" i="80" s="1"/>
  <c r="I48" i="80"/>
  <c r="I53" i="80" s="1"/>
  <c r="G53" i="80"/>
  <c r="J48" i="80"/>
  <c r="J53" i="80" s="1"/>
  <c r="K48" i="96"/>
  <c r="J17" i="96"/>
  <c r="J13" i="96"/>
  <c r="J25" i="96"/>
  <c r="J26" i="96" s="1"/>
  <c r="I26" i="96"/>
  <c r="I27" i="96" s="1"/>
  <c r="I47" i="96" s="1"/>
  <c r="H26" i="96"/>
  <c r="G26" i="96" s="1"/>
  <c r="G27" i="96" s="1"/>
  <c r="G47" i="96" s="1"/>
  <c r="K52" i="20"/>
  <c r="K51" i="20"/>
  <c r="L51" i="20"/>
  <c r="M52" i="20"/>
  <c r="M51" i="20"/>
  <c r="P37" i="25"/>
  <c r="T16" i="25"/>
  <c r="S16" i="25" s="1"/>
  <c r="R16" i="25" s="1"/>
  <c r="R17" i="25" s="1"/>
  <c r="M29" i="25"/>
  <c r="M34" i="25" s="1"/>
  <c r="J24" i="25"/>
  <c r="J27" i="25" s="1"/>
  <c r="J47" i="25" s="1"/>
  <c r="K24" i="25"/>
  <c r="K27" i="25" s="1"/>
  <c r="K47" i="25" s="1"/>
  <c r="L13" i="25"/>
  <c r="J12" i="25"/>
  <c r="F13" i="25" s="1"/>
  <c r="K46" i="25"/>
  <c r="P34" i="25"/>
  <c r="J35" i="25"/>
  <c r="J34" i="25" s="1"/>
  <c r="K37" i="25"/>
  <c r="K34" i="25"/>
  <c r="M29" i="83"/>
  <c r="J24" i="83"/>
  <c r="J27" i="83" s="1"/>
  <c r="J47" i="83" s="1"/>
  <c r="K24" i="83"/>
  <c r="K27" i="83" s="1"/>
  <c r="K47" i="83" s="1"/>
  <c r="J52" i="34"/>
  <c r="J50" i="34"/>
  <c r="J51" i="34"/>
  <c r="J55" i="34"/>
  <c r="O29" i="83"/>
  <c r="L24" i="83"/>
  <c r="L27" i="83" s="1"/>
  <c r="L47" i="83" s="1"/>
  <c r="L37" i="83"/>
  <c r="J52" i="20"/>
  <c r="J51" i="20"/>
  <c r="J50" i="20"/>
  <c r="Q48" i="20"/>
  <c r="Q53" i="20" s="1"/>
  <c r="P48" i="20"/>
  <c r="P53" i="20" s="1"/>
  <c r="R48" i="20"/>
  <c r="R53" i="20" s="1"/>
  <c r="O48" i="20"/>
  <c r="O53" i="20" s="1"/>
  <c r="I55" i="119"/>
  <c r="K50" i="34"/>
  <c r="K55" i="34"/>
  <c r="K51" i="34"/>
  <c r="K52" i="34"/>
  <c r="M46" i="95"/>
  <c r="L12" i="95"/>
  <c r="M17" i="95"/>
  <c r="L37" i="95"/>
  <c r="P37" i="95"/>
  <c r="M29" i="95"/>
  <c r="L24" i="95"/>
  <c r="L27" i="95" s="1"/>
  <c r="L47" i="95" s="1"/>
  <c r="Q37" i="95"/>
  <c r="P50" i="95"/>
  <c r="H22" i="125"/>
  <c r="H17" i="125"/>
  <c r="L34" i="25"/>
  <c r="R48" i="34"/>
  <c r="R53" i="34" s="1"/>
  <c r="O37" i="25"/>
  <c r="N36" i="25"/>
  <c r="Q52" i="95"/>
  <c r="U37" i="48"/>
  <c r="U48" i="48" s="1"/>
  <c r="U53" i="48" s="1"/>
  <c r="L55" i="34"/>
  <c r="M37" i="83"/>
  <c r="K24" i="125"/>
  <c r="K27" i="125" s="1"/>
  <c r="K47" i="125" s="1"/>
  <c r="K55" i="125" s="1"/>
  <c r="J51" i="125"/>
  <c r="Q22" i="123"/>
  <c r="Q29" i="123" s="1"/>
  <c r="P48" i="34"/>
  <c r="P53" i="34" s="1"/>
  <c r="U37" i="83"/>
  <c r="M17" i="48"/>
  <c r="P30" i="83"/>
  <c r="I24" i="125"/>
  <c r="I27" i="125" s="1"/>
  <c r="I47" i="125" s="1"/>
  <c r="O24" i="95"/>
  <c r="O27" i="95" s="1"/>
  <c r="L37" i="125"/>
  <c r="I48" i="125" s="1"/>
  <c r="I53" i="125" s="1"/>
  <c r="O46" i="25"/>
  <c r="S29" i="95"/>
  <c r="V17" i="25"/>
  <c r="W37" i="25"/>
  <c r="S46" i="25"/>
  <c r="O47" i="95"/>
  <c r="O50" i="95" s="1"/>
  <c r="P51" i="34"/>
  <c r="J52" i="125"/>
  <c r="M24" i="123"/>
  <c r="M27" i="123" s="1"/>
  <c r="N24" i="34"/>
  <c r="N27" i="34" s="1"/>
  <c r="N47" i="34" s="1"/>
  <c r="O29" i="34"/>
  <c r="M17" i="25"/>
  <c r="Q51" i="95"/>
  <c r="V37" i="83"/>
  <c r="X37" i="83"/>
  <c r="Y37" i="8"/>
  <c r="X22" i="48"/>
  <c r="X29" i="48" s="1"/>
  <c r="Q22" i="8"/>
  <c r="N30" i="25"/>
  <c r="M13" i="95"/>
  <c r="W17" i="48"/>
  <c r="Y37" i="48"/>
  <c r="V48" i="48" s="1"/>
  <c r="V53" i="48" s="1"/>
  <c r="M17" i="83"/>
  <c r="N37" i="83"/>
  <c r="W22" i="25"/>
  <c r="W29" i="25" s="1"/>
  <c r="W34" i="25" s="1"/>
  <c r="P41" i="95"/>
  <c r="Y17" i="48"/>
  <c r="R37" i="83"/>
  <c r="L51" i="34"/>
  <c r="L52" i="34"/>
  <c r="P50" i="73"/>
  <c r="P55" i="73"/>
  <c r="P51" i="73"/>
  <c r="P52" i="73"/>
  <c r="N50" i="73"/>
  <c r="N52" i="73"/>
  <c r="N51" i="73"/>
  <c r="N55" i="73"/>
  <c r="M29" i="123"/>
  <c r="P17" i="123"/>
  <c r="N48" i="80"/>
  <c r="N53" i="80" s="1"/>
  <c r="L48" i="80"/>
  <c r="L53" i="80" s="1"/>
  <c r="M48" i="80"/>
  <c r="M53" i="80" s="1"/>
  <c r="K48" i="106"/>
  <c r="K53" i="106" s="1"/>
  <c r="I48" i="106"/>
  <c r="I53" i="106" s="1"/>
  <c r="J48" i="106"/>
  <c r="J53" i="106" s="1"/>
  <c r="H48" i="106"/>
  <c r="H53" i="106" s="1"/>
  <c r="N37" i="125"/>
  <c r="M37" i="125"/>
  <c r="L52" i="125"/>
  <c r="L51" i="125"/>
  <c r="L50" i="125"/>
  <c r="J55" i="125"/>
  <c r="G41" i="119"/>
  <c r="I52" i="119"/>
  <c r="I51" i="119"/>
  <c r="N53" i="96"/>
  <c r="M48" i="96"/>
  <c r="M55" i="96"/>
  <c r="K40" i="96"/>
  <c r="K41" i="96" s="1"/>
  <c r="L41" i="96"/>
  <c r="M50" i="96"/>
  <c r="L47" i="96"/>
  <c r="M52" i="96"/>
  <c r="S55" i="34"/>
  <c r="S52" i="34"/>
  <c r="S51" i="34"/>
  <c r="Q55" i="34"/>
  <c r="M52" i="34"/>
  <c r="M51" i="34"/>
  <c r="O52" i="34"/>
  <c r="P52" i="34"/>
  <c r="Q51" i="34"/>
  <c r="S53" i="34"/>
  <c r="O34" i="34"/>
  <c r="O37" i="34"/>
  <c r="M55" i="34"/>
  <c r="P55" i="34"/>
  <c r="Q52" i="34"/>
  <c r="M24" i="83"/>
  <c r="M27" i="83" s="1"/>
  <c r="M47" i="83" s="1"/>
  <c r="M50" i="83" s="1"/>
  <c r="Q24" i="83"/>
  <c r="Q27" i="83" s="1"/>
  <c r="Q47" i="83" s="1"/>
  <c r="Q55" i="83" s="1"/>
  <c r="U24" i="83"/>
  <c r="U27" i="83" s="1"/>
  <c r="U47" i="83" s="1"/>
  <c r="P46" i="83"/>
  <c r="T46" i="83"/>
  <c r="N24" i="83"/>
  <c r="N27" i="83" s="1"/>
  <c r="N47" i="83" s="1"/>
  <c r="N50" i="83" s="1"/>
  <c r="R24" i="83"/>
  <c r="R27" i="83" s="1"/>
  <c r="R47" i="83" s="1"/>
  <c r="R55" i="83" s="1"/>
  <c r="V24" i="83"/>
  <c r="V27" i="83" s="1"/>
  <c r="V47" i="83" s="1"/>
  <c r="V50" i="83" s="1"/>
  <c r="Q35" i="83"/>
  <c r="P35" i="83" s="1"/>
  <c r="M46" i="83"/>
  <c r="Q46" i="83"/>
  <c r="U46" i="83"/>
  <c r="P13" i="83"/>
  <c r="T13" i="83"/>
  <c r="O24" i="83"/>
  <c r="O27" i="83" s="1"/>
  <c r="O47" i="83" s="1"/>
  <c r="S24" i="83"/>
  <c r="S27" i="83" s="1"/>
  <c r="S47" i="83" s="1"/>
  <c r="T30" i="83"/>
  <c r="N46" i="83"/>
  <c r="R46" i="83"/>
  <c r="V46" i="83"/>
  <c r="P17" i="83"/>
  <c r="T17" i="83"/>
  <c r="P24" i="83"/>
  <c r="P27" i="83" s="1"/>
  <c r="P47" i="83" s="1"/>
  <c r="P55" i="83" s="1"/>
  <c r="T24" i="83"/>
  <c r="T27" i="83" s="1"/>
  <c r="T47" i="83" s="1"/>
  <c r="T55" i="83" s="1"/>
  <c r="T35" i="83"/>
  <c r="T37" i="83" s="1"/>
  <c r="O29" i="48"/>
  <c r="S29" i="48"/>
  <c r="Q17" i="48"/>
  <c r="M22" i="48"/>
  <c r="U22" i="48"/>
  <c r="M35" i="48"/>
  <c r="M46" i="48"/>
  <c r="P13" i="48"/>
  <c r="O17" i="48"/>
  <c r="S17" i="48"/>
  <c r="N46" i="48"/>
  <c r="T16" i="48"/>
  <c r="M37" i="95"/>
  <c r="N52" i="95"/>
  <c r="P24" i="95"/>
  <c r="P27" i="95" s="1"/>
  <c r="N37" i="95"/>
  <c r="N48" i="95" s="1"/>
  <c r="N53" i="95" s="1"/>
  <c r="O52" i="95"/>
  <c r="M24" i="95"/>
  <c r="M27" i="95" s="1"/>
  <c r="Q24" i="95"/>
  <c r="Q27" i="95" s="1"/>
  <c r="N24" i="95"/>
  <c r="N27" i="95" s="1"/>
  <c r="P29" i="95"/>
  <c r="M47" i="95"/>
  <c r="M50" i="95" s="1"/>
  <c r="N51" i="95"/>
  <c r="O17" i="25"/>
  <c r="Q29" i="25"/>
  <c r="Q34" i="25" s="1"/>
  <c r="X22" i="25"/>
  <c r="X29" i="25" s="1"/>
  <c r="X34" i="25" s="1"/>
  <c r="T37" i="25"/>
  <c r="N13" i="25"/>
  <c r="R13" i="25"/>
  <c r="P17" i="25"/>
  <c r="U22" i="25"/>
  <c r="N35" i="25"/>
  <c r="S35" i="25"/>
  <c r="L46" i="25"/>
  <c r="P46" i="25"/>
  <c r="T46" i="25"/>
  <c r="R36" i="25"/>
  <c r="M46" i="25"/>
  <c r="Q46" i="25"/>
  <c r="L37" i="25"/>
  <c r="V22" i="25"/>
  <c r="V29" i="25" s="1"/>
  <c r="V34" i="25" s="1"/>
  <c r="R30" i="25"/>
  <c r="S51" i="8"/>
  <c r="S52" i="8"/>
  <c r="S50" i="8"/>
  <c r="R55" i="8"/>
  <c r="V55" i="8"/>
  <c r="R51" i="8"/>
  <c r="R52" i="8"/>
  <c r="R50" i="8"/>
  <c r="S55" i="8"/>
  <c r="T55" i="8"/>
  <c r="T52" i="8"/>
  <c r="T50" i="8"/>
  <c r="T51" i="8"/>
  <c r="U52" i="8"/>
  <c r="U50" i="8"/>
  <c r="U51" i="8"/>
  <c r="V51" i="8"/>
  <c r="V52" i="8"/>
  <c r="V50" i="8"/>
  <c r="U55" i="8"/>
  <c r="P13" i="8"/>
  <c r="O17" i="8"/>
  <c r="M17" i="8"/>
  <c r="T30" i="8"/>
  <c r="Q31" i="8"/>
  <c r="P31" i="8" s="1"/>
  <c r="R32" i="8"/>
  <c r="Q32" i="8" s="1"/>
  <c r="V32" i="8"/>
  <c r="M35" i="8"/>
  <c r="U36" i="8"/>
  <c r="T36" i="8" s="1"/>
  <c r="T37" i="8" s="1"/>
  <c r="P46" i="8"/>
  <c r="T46" i="8"/>
  <c r="Q36" i="8"/>
  <c r="Q37" i="8" s="1"/>
  <c r="V37" i="8"/>
  <c r="M46" i="8"/>
  <c r="Q46" i="8"/>
  <c r="U46" i="8"/>
  <c r="N46" i="8"/>
  <c r="R46" i="8"/>
  <c r="V46" i="8"/>
  <c r="T13" i="8"/>
  <c r="P17" i="8"/>
  <c r="T17" i="8"/>
  <c r="M55" i="84"/>
  <c r="L55" i="84"/>
  <c r="K55" i="84"/>
  <c r="B42" i="84"/>
  <c r="F41" i="84"/>
  <c r="E41" i="84"/>
  <c r="C41" i="84"/>
  <c r="J40" i="84"/>
  <c r="J41" i="84" s="1"/>
  <c r="I40" i="84"/>
  <c r="I41" i="84" s="1"/>
  <c r="H40" i="84"/>
  <c r="H41" i="84" s="1"/>
  <c r="G40" i="84"/>
  <c r="G41" i="84" s="1"/>
  <c r="D40" i="84"/>
  <c r="D41" i="84" s="1"/>
  <c r="B40" i="84"/>
  <c r="B39" i="84"/>
  <c r="K37" i="84"/>
  <c r="G37" i="84"/>
  <c r="C37" i="84"/>
  <c r="M36" i="84"/>
  <c r="L36" i="84"/>
  <c r="J36" i="84"/>
  <c r="F36" i="84"/>
  <c r="B36" i="84"/>
  <c r="M35" i="84"/>
  <c r="L35" i="84"/>
  <c r="J35" i="84"/>
  <c r="I35" i="84" s="1"/>
  <c r="F35" i="84"/>
  <c r="B35" i="84"/>
  <c r="I33" i="84"/>
  <c r="E33" i="84"/>
  <c r="D33" i="84"/>
  <c r="C33" i="84"/>
  <c r="B33" i="84"/>
  <c r="M32" i="84"/>
  <c r="L32" i="84"/>
  <c r="J32" i="84"/>
  <c r="I32" i="84" s="1"/>
  <c r="H32" i="84" s="1"/>
  <c r="F32" i="84"/>
  <c r="B32" i="84"/>
  <c r="M31" i="84"/>
  <c r="L31" i="84"/>
  <c r="J31" i="84"/>
  <c r="I31" i="84"/>
  <c r="H31" i="84" s="1"/>
  <c r="F31" i="84"/>
  <c r="B31" i="84"/>
  <c r="M30" i="84"/>
  <c r="L30" i="84"/>
  <c r="J30" i="84"/>
  <c r="F30" i="84"/>
  <c r="B30" i="84"/>
  <c r="L29" i="84"/>
  <c r="I29" i="84"/>
  <c r="D29" i="84"/>
  <c r="C29" i="84"/>
  <c r="H26" i="84"/>
  <c r="H27" i="84" s="1"/>
  <c r="H47" i="84" s="1"/>
  <c r="F26" i="84"/>
  <c r="L22" i="84"/>
  <c r="B22" i="84"/>
  <c r="B29" i="84" s="1"/>
  <c r="M21" i="84"/>
  <c r="M33" i="84" s="1"/>
  <c r="K21" i="84"/>
  <c r="K33" i="84" s="1"/>
  <c r="G21" i="84"/>
  <c r="G33" i="84" s="1"/>
  <c r="M16" i="84"/>
  <c r="M17" i="84" s="1"/>
  <c r="L16" i="84"/>
  <c r="K16" i="84"/>
  <c r="I16" i="84"/>
  <c r="I17" i="84" s="1"/>
  <c r="G16" i="84"/>
  <c r="G17" i="84" s="1"/>
  <c r="E16" i="84"/>
  <c r="E22" i="84" s="1"/>
  <c r="D16" i="84"/>
  <c r="C16" i="84"/>
  <c r="C17" i="84" s="1"/>
  <c r="I13" i="84"/>
  <c r="G13" i="84"/>
  <c r="F13" i="84"/>
  <c r="E13" i="84"/>
  <c r="C13" i="84"/>
  <c r="B13" i="84"/>
  <c r="L12" i="84"/>
  <c r="J46" i="84" s="1"/>
  <c r="H12" i="84"/>
  <c r="H46" i="84" s="1"/>
  <c r="D12" i="84"/>
  <c r="D46" i="84" s="1"/>
  <c r="O92" i="1"/>
  <c r="V48" i="83" l="1"/>
  <c r="V53" i="83" s="1"/>
  <c r="O55" i="34"/>
  <c r="O51" i="34"/>
  <c r="V52" i="83"/>
  <c r="U48" i="83"/>
  <c r="U53" i="83" s="1"/>
  <c r="U37" i="8"/>
  <c r="U48" i="8" s="1"/>
  <c r="U53" i="8" s="1"/>
  <c r="J48" i="123"/>
  <c r="J53" i="123" s="1"/>
  <c r="K53" i="123"/>
  <c r="T17" i="25"/>
  <c r="H46" i="25"/>
  <c r="G46" i="25"/>
  <c r="J55" i="95"/>
  <c r="J52" i="95"/>
  <c r="J50" i="95"/>
  <c r="J51" i="95"/>
  <c r="J46" i="83"/>
  <c r="H13" i="83"/>
  <c r="I46" i="83"/>
  <c r="L46" i="83"/>
  <c r="K46" i="83"/>
  <c r="L17" i="83"/>
  <c r="L13" i="83"/>
  <c r="K50" i="95"/>
  <c r="K55" i="95"/>
  <c r="K51" i="95"/>
  <c r="K52" i="95"/>
  <c r="T22" i="25"/>
  <c r="T24" i="25" s="1"/>
  <c r="T27" i="25" s="1"/>
  <c r="T47" i="25" s="1"/>
  <c r="Q37" i="48"/>
  <c r="Q48" i="48" s="1"/>
  <c r="Q53" i="48" s="1"/>
  <c r="K48" i="95"/>
  <c r="K53" i="95" s="1"/>
  <c r="J48" i="95"/>
  <c r="J53" i="95" s="1"/>
  <c r="I48" i="95"/>
  <c r="I53" i="95" s="1"/>
  <c r="I48" i="83"/>
  <c r="I53" i="83" s="1"/>
  <c r="J48" i="83"/>
  <c r="J53" i="83" s="1"/>
  <c r="J26" i="123"/>
  <c r="J27" i="123" s="1"/>
  <c r="J47" i="123" s="1"/>
  <c r="Q48" i="8"/>
  <c r="Q53" i="8" s="1"/>
  <c r="O51" i="95"/>
  <c r="K48" i="83"/>
  <c r="K53" i="83" s="1"/>
  <c r="K26" i="123"/>
  <c r="K27" i="123" s="1"/>
  <c r="K47" i="123" s="1"/>
  <c r="M37" i="8"/>
  <c r="L35" i="8"/>
  <c r="L37" i="8" s="1"/>
  <c r="H13" i="95"/>
  <c r="I46" i="95"/>
  <c r="J46" i="95"/>
  <c r="K46" i="95"/>
  <c r="L52" i="123"/>
  <c r="L51" i="123"/>
  <c r="L50" i="123"/>
  <c r="L55" i="123"/>
  <c r="C34" i="84"/>
  <c r="B37" i="84"/>
  <c r="T48" i="25"/>
  <c r="T53" i="25" s="1"/>
  <c r="U48" i="25"/>
  <c r="U53" i="25" s="1"/>
  <c r="M37" i="48"/>
  <c r="M48" i="48" s="1"/>
  <c r="M53" i="48" s="1"/>
  <c r="L35" i="48"/>
  <c r="L37" i="48" s="1"/>
  <c r="P16" i="48"/>
  <c r="Q22" i="48"/>
  <c r="Q29" i="48" s="1"/>
  <c r="L22" i="48"/>
  <c r="L17" i="48"/>
  <c r="G48" i="125"/>
  <c r="G53" i="125" s="1"/>
  <c r="F48" i="125"/>
  <c r="F53" i="125" s="1"/>
  <c r="E48" i="125"/>
  <c r="E53" i="125" s="1"/>
  <c r="E24" i="125"/>
  <c r="E27" i="125" s="1"/>
  <c r="E47" i="125" s="1"/>
  <c r="F24" i="125"/>
  <c r="F27" i="125" s="1"/>
  <c r="F47" i="125" s="1"/>
  <c r="G24" i="125"/>
  <c r="G27" i="125" s="1"/>
  <c r="G47" i="125" s="1"/>
  <c r="H48" i="125"/>
  <c r="H53" i="125" s="1"/>
  <c r="H27" i="96"/>
  <c r="H47" i="96" s="1"/>
  <c r="H52" i="96" s="1"/>
  <c r="G52" i="96"/>
  <c r="G51" i="96"/>
  <c r="G50" i="96"/>
  <c r="G55" i="96"/>
  <c r="J27" i="96"/>
  <c r="J47" i="96" s="1"/>
  <c r="J51" i="96" s="1"/>
  <c r="I50" i="96"/>
  <c r="I55" i="96"/>
  <c r="I52" i="96"/>
  <c r="I51" i="96"/>
  <c r="J55" i="96"/>
  <c r="J37" i="25"/>
  <c r="J48" i="25" s="1"/>
  <c r="J53" i="25" s="1"/>
  <c r="S17" i="25"/>
  <c r="S22" i="25"/>
  <c r="S29" i="25" s="1"/>
  <c r="S34" i="25" s="1"/>
  <c r="K50" i="25"/>
  <c r="K55" i="25"/>
  <c r="K51" i="25"/>
  <c r="K52" i="25"/>
  <c r="I46" i="25"/>
  <c r="J13" i="25"/>
  <c r="J46" i="25"/>
  <c r="J17" i="25"/>
  <c r="J51" i="25"/>
  <c r="J55" i="25"/>
  <c r="J50" i="25"/>
  <c r="J52" i="25"/>
  <c r="K50" i="83"/>
  <c r="K52" i="83"/>
  <c r="K51" i="83"/>
  <c r="K55" i="83"/>
  <c r="J50" i="83"/>
  <c r="J55" i="83"/>
  <c r="J52" i="83"/>
  <c r="J51" i="83"/>
  <c r="L50" i="83"/>
  <c r="L55" i="83"/>
  <c r="L51" i="83"/>
  <c r="L52" i="83"/>
  <c r="L48" i="83"/>
  <c r="L53" i="83" s="1"/>
  <c r="L48" i="95"/>
  <c r="L53" i="95" s="1"/>
  <c r="L55" i="95"/>
  <c r="L50" i="95"/>
  <c r="L52" i="95"/>
  <c r="L51" i="95"/>
  <c r="L13" i="95"/>
  <c r="L46" i="95"/>
  <c r="L17" i="95"/>
  <c r="M55" i="83"/>
  <c r="M52" i="83"/>
  <c r="L48" i="125"/>
  <c r="L53" i="125" s="1"/>
  <c r="K50" i="125"/>
  <c r="K51" i="125"/>
  <c r="K52" i="125"/>
  <c r="H24" i="125"/>
  <c r="H27" i="125" s="1"/>
  <c r="H47" i="125" s="1"/>
  <c r="H29" i="125"/>
  <c r="P53" i="95"/>
  <c r="P51" i="95"/>
  <c r="P52" i="95"/>
  <c r="I50" i="125"/>
  <c r="I51" i="125"/>
  <c r="I52" i="125"/>
  <c r="D17" i="84"/>
  <c r="P24" i="8"/>
  <c r="P27" i="8" s="1"/>
  <c r="P47" i="8" s="1"/>
  <c r="Q29" i="8"/>
  <c r="Q24" i="8"/>
  <c r="Q27" i="8" s="1"/>
  <c r="Q47" i="8" s="1"/>
  <c r="E31" i="84"/>
  <c r="D31" i="84" s="1"/>
  <c r="I55" i="125"/>
  <c r="N50" i="34"/>
  <c r="N52" i="34"/>
  <c r="N51" i="34"/>
  <c r="N55" i="34"/>
  <c r="O24" i="8"/>
  <c r="O27" i="8" s="1"/>
  <c r="O47" i="8" s="1"/>
  <c r="R22" i="25"/>
  <c r="O24" i="25" s="1"/>
  <c r="O27" i="25" s="1"/>
  <c r="O47" i="25" s="1"/>
  <c r="M51" i="95"/>
  <c r="S48" i="48"/>
  <c r="S53" i="48" s="1"/>
  <c r="T48" i="83"/>
  <c r="T53" i="83" s="1"/>
  <c r="K22" i="84"/>
  <c r="K29" i="84" s="1"/>
  <c r="K34" i="84" s="1"/>
  <c r="M37" i="84"/>
  <c r="P36" i="8"/>
  <c r="P37" i="8" s="1"/>
  <c r="P48" i="8" s="1"/>
  <c r="P53" i="8" s="1"/>
  <c r="Q24" i="123"/>
  <c r="Q27" i="123" s="1"/>
  <c r="E32" i="84"/>
  <c r="D32" i="84" s="1"/>
  <c r="B34" i="84"/>
  <c r="T48" i="48"/>
  <c r="T53" i="48" s="1"/>
  <c r="L37" i="84"/>
  <c r="M52" i="95"/>
  <c r="L21" i="84"/>
  <c r="L33" i="84" s="1"/>
  <c r="L34" i="84" s="1"/>
  <c r="H50" i="84"/>
  <c r="V48" i="8"/>
  <c r="V53" i="8" s="1"/>
  <c r="V24" i="48"/>
  <c r="V27" i="48" s="1"/>
  <c r="V47" i="48" s="1"/>
  <c r="V52" i="48" s="1"/>
  <c r="R48" i="48"/>
  <c r="R53" i="48" s="1"/>
  <c r="P29" i="123"/>
  <c r="P24" i="123"/>
  <c r="P27" i="123" s="1"/>
  <c r="P47" i="123" s="1"/>
  <c r="N24" i="123"/>
  <c r="N27" i="123" s="1"/>
  <c r="O24" i="123"/>
  <c r="O27" i="123" s="1"/>
  <c r="O47" i="123" s="1"/>
  <c r="J48" i="125"/>
  <c r="J53" i="125" s="1"/>
  <c r="K48" i="125"/>
  <c r="K53" i="125" s="1"/>
  <c r="G52" i="119"/>
  <c r="G51" i="119"/>
  <c r="G55" i="119"/>
  <c r="G53" i="119"/>
  <c r="K55" i="96"/>
  <c r="K51" i="96"/>
  <c r="L50" i="96"/>
  <c r="K50" i="96"/>
  <c r="L48" i="96"/>
  <c r="M53" i="96"/>
  <c r="L52" i="96"/>
  <c r="L51" i="96"/>
  <c r="L55" i="96"/>
  <c r="O48" i="34"/>
  <c r="O53" i="34" s="1"/>
  <c r="M48" i="34"/>
  <c r="M53" i="34" s="1"/>
  <c r="L48" i="34"/>
  <c r="L53" i="34" s="1"/>
  <c r="N48" i="34"/>
  <c r="N53" i="34" s="1"/>
  <c r="U52" i="83"/>
  <c r="U50" i="83"/>
  <c r="U51" i="83"/>
  <c r="N51" i="83"/>
  <c r="M51" i="83"/>
  <c r="V55" i="83"/>
  <c r="Q37" i="83"/>
  <c r="Q48" i="83" s="1"/>
  <c r="Q53" i="83" s="1"/>
  <c r="P37" i="83"/>
  <c r="Q52" i="83"/>
  <c r="Q50" i="83"/>
  <c r="Q51" i="83"/>
  <c r="S48" i="83"/>
  <c r="S53" i="83" s="1"/>
  <c r="T52" i="83"/>
  <c r="T50" i="83"/>
  <c r="T51" i="83"/>
  <c r="S51" i="83"/>
  <c r="S52" i="83"/>
  <c r="S50" i="83"/>
  <c r="V51" i="83"/>
  <c r="S55" i="83"/>
  <c r="N55" i="83"/>
  <c r="P52" i="83"/>
  <c r="P50" i="83"/>
  <c r="P51" i="83"/>
  <c r="O51" i="83"/>
  <c r="O52" i="83"/>
  <c r="O50" i="83"/>
  <c r="R51" i="83"/>
  <c r="R52" i="83"/>
  <c r="R50" i="83"/>
  <c r="U55" i="83"/>
  <c r="N52" i="83"/>
  <c r="O55" i="83"/>
  <c r="R48" i="83"/>
  <c r="R53" i="83" s="1"/>
  <c r="P48" i="48"/>
  <c r="P53" i="48" s="1"/>
  <c r="O48" i="48"/>
  <c r="O53" i="48" s="1"/>
  <c r="T17" i="48"/>
  <c r="T22" i="48"/>
  <c r="U29" i="48"/>
  <c r="U24" i="48"/>
  <c r="U27" i="48" s="1"/>
  <c r="U47" i="48" s="1"/>
  <c r="P17" i="48"/>
  <c r="P22" i="48"/>
  <c r="M24" i="48" s="1"/>
  <c r="M27" i="48" s="1"/>
  <c r="M47" i="48" s="1"/>
  <c r="M29" i="48"/>
  <c r="V55" i="48"/>
  <c r="M55" i="95"/>
  <c r="M48" i="95"/>
  <c r="M53" i="95" s="1"/>
  <c r="N17" i="25"/>
  <c r="U29" i="25"/>
  <c r="U34" i="25" s="1"/>
  <c r="U24" i="25"/>
  <c r="U27" i="25" s="1"/>
  <c r="U47" i="25" s="1"/>
  <c r="T29" i="25"/>
  <c r="T34" i="25" s="1"/>
  <c r="N37" i="25"/>
  <c r="L48" i="25" s="1"/>
  <c r="L53" i="25" s="1"/>
  <c r="S37" i="25"/>
  <c r="S48" i="25" s="1"/>
  <c r="S53" i="25" s="1"/>
  <c r="R35" i="25"/>
  <c r="R29" i="25"/>
  <c r="O29" i="25"/>
  <c r="O34" i="25" s="1"/>
  <c r="T48" i="8"/>
  <c r="T53" i="8" s="1"/>
  <c r="S48" i="8"/>
  <c r="S53" i="8" s="1"/>
  <c r="R48" i="8"/>
  <c r="R53" i="8" s="1"/>
  <c r="P32" i="8"/>
  <c r="O55" i="8"/>
  <c r="O52" i="8"/>
  <c r="M48" i="8"/>
  <c r="M53" i="8" s="1"/>
  <c r="U32" i="8"/>
  <c r="T32" i="8" s="1"/>
  <c r="E29" i="84"/>
  <c r="J22" i="84"/>
  <c r="H22" i="84" s="1"/>
  <c r="H51" i="84"/>
  <c r="E17" i="84"/>
  <c r="M22" i="84"/>
  <c r="M29" i="84" s="1"/>
  <c r="M34" i="84" s="1"/>
  <c r="D13" i="84"/>
  <c r="H13" i="84"/>
  <c r="L17" i="84"/>
  <c r="G22" i="84"/>
  <c r="I30" i="84"/>
  <c r="H30" i="84" s="1"/>
  <c r="E30" i="84" s="1"/>
  <c r="D30" i="84" s="1"/>
  <c r="I36" i="84"/>
  <c r="I37" i="84" s="1"/>
  <c r="F37" i="84"/>
  <c r="J37" i="84"/>
  <c r="E46" i="84"/>
  <c r="I46" i="84"/>
  <c r="H52" i="84"/>
  <c r="B46" i="84"/>
  <c r="F46" i="84"/>
  <c r="B16" i="84"/>
  <c r="B17" i="84" s="1"/>
  <c r="F16" i="84"/>
  <c r="F17" i="84" s="1"/>
  <c r="J16" i="84"/>
  <c r="B24" i="84"/>
  <c r="H35" i="84"/>
  <c r="C46" i="84"/>
  <c r="G46" i="84"/>
  <c r="H55" i="84"/>
  <c r="K17" i="84"/>
  <c r="B41" i="84"/>
  <c r="F92" i="1"/>
  <c r="O48" i="8" l="1"/>
  <c r="O53" i="8" s="1"/>
  <c r="N48" i="8"/>
  <c r="N53" i="8" s="1"/>
  <c r="I48" i="25"/>
  <c r="I53" i="25" s="1"/>
  <c r="R24" i="25"/>
  <c r="R27" i="25" s="1"/>
  <c r="R47" i="25" s="1"/>
  <c r="S24" i="25"/>
  <c r="S27" i="25" s="1"/>
  <c r="S47" i="25" s="1"/>
  <c r="S52" i="25" s="1"/>
  <c r="H50" i="96"/>
  <c r="N48" i="48"/>
  <c r="N53" i="48" s="1"/>
  <c r="J55" i="123"/>
  <c r="J51" i="123"/>
  <c r="J52" i="123"/>
  <c r="J50" i="123"/>
  <c r="H48" i="25"/>
  <c r="H53" i="25" s="1"/>
  <c r="G48" i="25"/>
  <c r="G53" i="25" s="1"/>
  <c r="J48" i="8"/>
  <c r="J53" i="8" s="1"/>
  <c r="K48" i="8"/>
  <c r="K53" i="8" s="1"/>
  <c r="I48" i="8"/>
  <c r="I53" i="8" s="1"/>
  <c r="L48" i="8"/>
  <c r="L53" i="8" s="1"/>
  <c r="I48" i="84"/>
  <c r="I53" i="84" s="1"/>
  <c r="J50" i="96"/>
  <c r="K55" i="123"/>
  <c r="K50" i="123"/>
  <c r="K52" i="123"/>
  <c r="K51" i="123"/>
  <c r="P24" i="25"/>
  <c r="P27" i="25" s="1"/>
  <c r="P47" i="25" s="1"/>
  <c r="H55" i="96"/>
  <c r="K48" i="48"/>
  <c r="K53" i="48" s="1"/>
  <c r="J48" i="48"/>
  <c r="J53" i="48" s="1"/>
  <c r="I48" i="48"/>
  <c r="I53" i="48" s="1"/>
  <c r="L48" i="48"/>
  <c r="L53" i="48" s="1"/>
  <c r="K24" i="48"/>
  <c r="K27" i="48" s="1"/>
  <c r="K47" i="48" s="1"/>
  <c r="J24" i="48"/>
  <c r="I24" i="48"/>
  <c r="L24" i="48"/>
  <c r="L27" i="48" s="1"/>
  <c r="L47" i="48" s="1"/>
  <c r="L29" i="48"/>
  <c r="H51" i="96"/>
  <c r="E55" i="125"/>
  <c r="E50" i="125"/>
  <c r="E51" i="125"/>
  <c r="E52" i="125"/>
  <c r="G51" i="125"/>
  <c r="G55" i="125"/>
  <c r="G52" i="125"/>
  <c r="G50" i="125"/>
  <c r="F52" i="125"/>
  <c r="F55" i="125"/>
  <c r="F50" i="125"/>
  <c r="F51" i="125"/>
  <c r="J52" i="96"/>
  <c r="K48" i="25"/>
  <c r="K53" i="25" s="1"/>
  <c r="H50" i="125"/>
  <c r="H52" i="125"/>
  <c r="H51" i="125"/>
  <c r="H55" i="125"/>
  <c r="Q50" i="8"/>
  <c r="Q55" i="8"/>
  <c r="Q51" i="8"/>
  <c r="Q52" i="8"/>
  <c r="Q24" i="25"/>
  <c r="Q27" i="25" s="1"/>
  <c r="Q47" i="25" s="1"/>
  <c r="P50" i="8"/>
  <c r="P55" i="8"/>
  <c r="P52" i="8"/>
  <c r="P51" i="8"/>
  <c r="O50" i="8"/>
  <c r="O51" i="8"/>
  <c r="J48" i="84"/>
  <c r="J53" i="84" s="1"/>
  <c r="V50" i="48"/>
  <c r="V51" i="48"/>
  <c r="O50" i="123"/>
  <c r="O51" i="123"/>
  <c r="O55" i="123"/>
  <c r="O52" i="123"/>
  <c r="P50" i="123"/>
  <c r="P51" i="123"/>
  <c r="P55" i="123"/>
  <c r="P52" i="123"/>
  <c r="L53" i="96"/>
  <c r="K53" i="96"/>
  <c r="K52" i="96"/>
  <c r="P48" i="83"/>
  <c r="P53" i="83" s="1"/>
  <c r="N48" i="83"/>
  <c r="N53" i="83" s="1"/>
  <c r="M48" i="83"/>
  <c r="M53" i="83" s="1"/>
  <c r="O48" i="83"/>
  <c r="O53" i="83" s="1"/>
  <c r="U50" i="48"/>
  <c r="U51" i="48"/>
  <c r="U55" i="48"/>
  <c r="U52" i="48"/>
  <c r="P29" i="48"/>
  <c r="P24" i="48"/>
  <c r="P27" i="48" s="1"/>
  <c r="P47" i="48" s="1"/>
  <c r="N24" i="48"/>
  <c r="N27" i="48" s="1"/>
  <c r="N47" i="48" s="1"/>
  <c r="O24" i="48"/>
  <c r="O27" i="48" s="1"/>
  <c r="O47" i="48" s="1"/>
  <c r="M50" i="48"/>
  <c r="M55" i="48"/>
  <c r="M51" i="48"/>
  <c r="M52" i="48"/>
  <c r="T29" i="48"/>
  <c r="T24" i="48"/>
  <c r="T27" i="48" s="1"/>
  <c r="T47" i="48" s="1"/>
  <c r="S24" i="48"/>
  <c r="S27" i="48" s="1"/>
  <c r="S47" i="48" s="1"/>
  <c r="Q24" i="48"/>
  <c r="Q27" i="48" s="1"/>
  <c r="Q47" i="48" s="1"/>
  <c r="R24" i="48"/>
  <c r="R27" i="48" s="1"/>
  <c r="R47" i="48" s="1"/>
  <c r="T50" i="25"/>
  <c r="T55" i="25"/>
  <c r="T51" i="25"/>
  <c r="T52" i="25"/>
  <c r="R50" i="25"/>
  <c r="R51" i="25"/>
  <c r="R52" i="25"/>
  <c r="R55" i="25"/>
  <c r="R37" i="25"/>
  <c r="R34" i="25"/>
  <c r="N48" i="25"/>
  <c r="N53" i="25" s="1"/>
  <c r="M48" i="25"/>
  <c r="M53" i="25" s="1"/>
  <c r="O50" i="25"/>
  <c r="O55" i="25"/>
  <c r="O52" i="25"/>
  <c r="O51" i="25"/>
  <c r="S51" i="25"/>
  <c r="P50" i="25"/>
  <c r="P55" i="25"/>
  <c r="P52" i="25"/>
  <c r="P51" i="25"/>
  <c r="U50" i="25"/>
  <c r="U55" i="25"/>
  <c r="U51" i="25"/>
  <c r="U52" i="25"/>
  <c r="N29" i="25"/>
  <c r="N34" i="25" s="1"/>
  <c r="N24" i="25"/>
  <c r="N27" i="25" s="1"/>
  <c r="N47" i="25" s="1"/>
  <c r="M24" i="25"/>
  <c r="M27" i="25" s="1"/>
  <c r="M47" i="25" s="1"/>
  <c r="L24" i="25"/>
  <c r="L27" i="25" s="1"/>
  <c r="L47" i="25" s="1"/>
  <c r="H36" i="84"/>
  <c r="E36" i="84" s="1"/>
  <c r="D36" i="84" s="1"/>
  <c r="H29" i="84"/>
  <c r="J29" i="84"/>
  <c r="J24" i="84"/>
  <c r="J27" i="84" s="1"/>
  <c r="J47" i="84" s="1"/>
  <c r="J21" i="84"/>
  <c r="J33" i="84" s="1"/>
  <c r="I24" i="84"/>
  <c r="I27" i="84" s="1"/>
  <c r="I47" i="84" s="1"/>
  <c r="I34" i="84"/>
  <c r="E35" i="84"/>
  <c r="J17" i="84"/>
  <c r="H16" i="84"/>
  <c r="H17" i="84" s="1"/>
  <c r="G24" i="84"/>
  <c r="G27" i="84" s="1"/>
  <c r="G47" i="84" s="1"/>
  <c r="F22" i="84"/>
  <c r="G29" i="84"/>
  <c r="G34" i="84" s="1"/>
  <c r="J92" i="1"/>
  <c r="E92" i="1"/>
  <c r="S50" i="25" l="1"/>
  <c r="S55" i="25"/>
  <c r="L50" i="48"/>
  <c r="L55" i="48"/>
  <c r="L51" i="48"/>
  <c r="L52" i="48"/>
  <c r="I26" i="48"/>
  <c r="I27" i="48" s="1"/>
  <c r="I47" i="48" s="1"/>
  <c r="K52" i="48"/>
  <c r="K55" i="48"/>
  <c r="K51" i="48"/>
  <c r="K50" i="48"/>
  <c r="Q51" i="25"/>
  <c r="Q55" i="25"/>
  <c r="Q50" i="25"/>
  <c r="Q52" i="25"/>
  <c r="H37" i="84"/>
  <c r="F48" i="84" s="1"/>
  <c r="F53" i="84" s="1"/>
  <c r="J34" i="84"/>
  <c r="Q50" i="48"/>
  <c r="Q51" i="48"/>
  <c r="Q52" i="48"/>
  <c r="Q55" i="48"/>
  <c r="O50" i="48"/>
  <c r="O52" i="48"/>
  <c r="O51" i="48"/>
  <c r="O55" i="48"/>
  <c r="S50" i="48"/>
  <c r="S51" i="48"/>
  <c r="S52" i="48"/>
  <c r="S55" i="48"/>
  <c r="N52" i="48"/>
  <c r="N50" i="48"/>
  <c r="N51" i="48"/>
  <c r="N55" i="48"/>
  <c r="T50" i="48"/>
  <c r="T55" i="48"/>
  <c r="T52" i="48"/>
  <c r="T51" i="48"/>
  <c r="P50" i="48"/>
  <c r="P55" i="48"/>
  <c r="P52" i="48"/>
  <c r="P51" i="48"/>
  <c r="R50" i="48"/>
  <c r="R52" i="48"/>
  <c r="R55" i="48"/>
  <c r="R51" i="48"/>
  <c r="L50" i="25"/>
  <c r="L55" i="25"/>
  <c r="L51" i="25"/>
  <c r="L52" i="25"/>
  <c r="N50" i="25"/>
  <c r="N55" i="25"/>
  <c r="N52" i="25"/>
  <c r="N51" i="25"/>
  <c r="M52" i="25"/>
  <c r="M50" i="25"/>
  <c r="M51" i="25"/>
  <c r="M55" i="25"/>
  <c r="R48" i="25"/>
  <c r="R53" i="25" s="1"/>
  <c r="Q48" i="25"/>
  <c r="Q53" i="25" s="1"/>
  <c r="O48" i="25"/>
  <c r="O53" i="25" s="1"/>
  <c r="P48" i="25"/>
  <c r="P53" i="25" s="1"/>
  <c r="G50" i="84"/>
  <c r="G55" i="84"/>
  <c r="G52" i="84"/>
  <c r="G51" i="84"/>
  <c r="F29" i="84"/>
  <c r="F24" i="84"/>
  <c r="F27" i="84" s="1"/>
  <c r="F47" i="84" s="1"/>
  <c r="F21" i="84"/>
  <c r="F33" i="84" s="1"/>
  <c r="D24" i="84"/>
  <c r="D27" i="84" s="1"/>
  <c r="D47" i="84" s="1"/>
  <c r="C24" i="84"/>
  <c r="E24" i="84"/>
  <c r="E27" i="84" s="1"/>
  <c r="E47" i="84" s="1"/>
  <c r="J50" i="84"/>
  <c r="J52" i="84"/>
  <c r="J51" i="84"/>
  <c r="J55" i="84"/>
  <c r="H21" i="84"/>
  <c r="H33" i="84" s="1"/>
  <c r="H34" i="84" s="1"/>
  <c r="E37" i="84"/>
  <c r="E34" i="84"/>
  <c r="D35" i="84"/>
  <c r="I50" i="84"/>
  <c r="I52" i="84"/>
  <c r="I51" i="84"/>
  <c r="I55" i="84"/>
  <c r="H48" i="84" l="1"/>
  <c r="H53" i="84" s="1"/>
  <c r="I55" i="48"/>
  <c r="I51" i="48"/>
  <c r="I50" i="48"/>
  <c r="I52" i="48"/>
  <c r="G48" i="84"/>
  <c r="G53" i="84" s="1"/>
  <c r="E48" i="84"/>
  <c r="E53" i="84" s="1"/>
  <c r="D50" i="84"/>
  <c r="D55" i="84"/>
  <c r="D52" i="84"/>
  <c r="D51" i="84"/>
  <c r="D37" i="84"/>
  <c r="D34" i="84"/>
  <c r="E50" i="84"/>
  <c r="E52" i="84"/>
  <c r="E51" i="84"/>
  <c r="E55" i="84"/>
  <c r="F51" i="84"/>
  <c r="F50" i="84"/>
  <c r="F52" i="84"/>
  <c r="F55" i="84"/>
  <c r="C26" i="84"/>
  <c r="B26" i="84" s="1"/>
  <c r="B27" i="84" s="1"/>
  <c r="B47" i="84" s="1"/>
  <c r="F34" i="84"/>
  <c r="B50" i="84" l="1"/>
  <c r="B55" i="84"/>
  <c r="B51" i="84"/>
  <c r="B52" i="84"/>
  <c r="C27" i="84"/>
  <c r="C47" i="84" s="1"/>
  <c r="D48" i="84"/>
  <c r="D53" i="84" s="1"/>
  <c r="B48" i="84"/>
  <c r="B53" i="84" s="1"/>
  <c r="C48" i="84"/>
  <c r="C53" i="84" s="1"/>
  <c r="C55" i="84" l="1"/>
  <c r="C50" i="84"/>
  <c r="C52" i="84"/>
  <c r="C51" i="84"/>
  <c r="F21" i="49" l="1"/>
  <c r="F16" i="49"/>
  <c r="F22" i="49" s="1"/>
  <c r="B21" i="49"/>
  <c r="B16" i="49"/>
  <c r="B22" i="49" l="1"/>
  <c r="B29" i="49" s="1"/>
  <c r="B40" i="49"/>
  <c r="B41" i="49" s="1"/>
  <c r="B36" i="49"/>
  <c r="B35" i="49"/>
  <c r="C32" i="49"/>
  <c r="B32" i="49" s="1"/>
  <c r="C16" i="49"/>
  <c r="C21" i="49"/>
  <c r="G21" i="49"/>
  <c r="G16" i="49"/>
  <c r="D40" i="49"/>
  <c r="D41" i="49" s="1"/>
  <c r="C40" i="49"/>
  <c r="C41" i="49" s="1"/>
  <c r="B17" i="49"/>
  <c r="B13" i="49"/>
  <c r="C37" i="49"/>
  <c r="C13" i="49"/>
  <c r="C22" i="49" l="1"/>
  <c r="C29" i="49" s="1"/>
  <c r="C17" i="49"/>
  <c r="B37" i="49"/>
  <c r="C70" i="1"/>
  <c r="C48" i="1"/>
  <c r="M41" i="120" l="1"/>
  <c r="R16" i="120"/>
  <c r="R22" i="120" s="1"/>
  <c r="R29" i="120" s="1"/>
  <c r="Q16" i="120"/>
  <c r="Q22" i="120" s="1"/>
  <c r="O29" i="120"/>
  <c r="J27" i="120"/>
  <c r="J47" i="120" s="1"/>
  <c r="N17" i="120"/>
  <c r="R55" i="120"/>
  <c r="O55" i="120"/>
  <c r="N55" i="120"/>
  <c r="M55" i="120"/>
  <c r="N10" i="120"/>
  <c r="O10" i="120" s="1"/>
  <c r="P10" i="120" s="1"/>
  <c r="Q10" i="120" s="1"/>
  <c r="R10" i="120" s="1"/>
  <c r="F70" i="1"/>
  <c r="J50" i="120" l="1"/>
  <c r="J51" i="120"/>
  <c r="J55" i="120"/>
  <c r="J52" i="120"/>
  <c r="N29" i="120"/>
  <c r="L24" i="120"/>
  <c r="K24" i="120"/>
  <c r="R17" i="120"/>
  <c r="M24" i="120"/>
  <c r="M37" i="120"/>
  <c r="Q37" i="120"/>
  <c r="O37" i="120"/>
  <c r="N24" i="120"/>
  <c r="P17" i="120"/>
  <c r="P37" i="120"/>
  <c r="N37" i="120"/>
  <c r="R37" i="120"/>
  <c r="N13" i="120"/>
  <c r="O17" i="120"/>
  <c r="N46" i="120"/>
  <c r="O46" i="120"/>
  <c r="Q17" i="120"/>
  <c r="M17" i="120"/>
  <c r="M13" i="120"/>
  <c r="P29" i="120"/>
  <c r="O24" i="120"/>
  <c r="M29" i="120"/>
  <c r="Q29" i="120"/>
  <c r="O48" i="1"/>
  <c r="C73" i="1"/>
  <c r="L48" i="120" l="1"/>
  <c r="L53" i="120" s="1"/>
  <c r="K48" i="120"/>
  <c r="K53" i="120" s="1"/>
  <c r="J48" i="120"/>
  <c r="J53" i="120" s="1"/>
  <c r="O25" i="120"/>
  <c r="N25" i="120" s="1"/>
  <c r="N27" i="120" s="1"/>
  <c r="N47" i="120" s="1"/>
  <c r="K27" i="120"/>
  <c r="K47" i="120" s="1"/>
  <c r="M25" i="120"/>
  <c r="L25" i="120" s="1"/>
  <c r="L27" i="120" s="1"/>
  <c r="L47" i="120" s="1"/>
  <c r="O48" i="120"/>
  <c r="M48" i="120"/>
  <c r="M53" i="120" s="1"/>
  <c r="N48" i="120"/>
  <c r="O10" i="1"/>
  <c r="J73" i="1"/>
  <c r="E73" i="1"/>
  <c r="J10" i="1"/>
  <c r="F73" i="1"/>
  <c r="E10" i="1"/>
  <c r="C10" i="1"/>
  <c r="F48" i="1"/>
  <c r="F10" i="1"/>
  <c r="E70" i="1"/>
  <c r="J48" i="1"/>
  <c r="O70" i="1"/>
  <c r="O73" i="1"/>
  <c r="O27" i="120" l="1"/>
  <c r="O47" i="120" s="1"/>
  <c r="M27" i="120"/>
  <c r="M47" i="120" s="1"/>
  <c r="K55" i="120"/>
  <c r="K52" i="120"/>
  <c r="K50" i="120"/>
  <c r="K51" i="120"/>
  <c r="L50" i="120"/>
  <c r="L52" i="120"/>
  <c r="L51" i="120"/>
  <c r="B42" i="22"/>
  <c r="B41" i="22"/>
  <c r="B29" i="22"/>
  <c r="B24" i="22"/>
  <c r="B25" i="22" s="1"/>
  <c r="B27" i="22" s="1"/>
  <c r="B47" i="22" s="1"/>
  <c r="B16" i="22"/>
  <c r="B17" i="22" s="1"/>
  <c r="B31" i="22"/>
  <c r="B30" i="22"/>
  <c r="B36" i="22"/>
  <c r="B35" i="22"/>
  <c r="B13" i="22"/>
  <c r="J70" i="1"/>
  <c r="B55" i="22" l="1"/>
  <c r="M51" i="120"/>
  <c r="M52" i="120"/>
  <c r="M50" i="120"/>
  <c r="B37" i="22"/>
  <c r="B51" i="22"/>
  <c r="B52" i="22"/>
  <c r="B50" i="22"/>
  <c r="O85" i="1"/>
  <c r="C85" i="1"/>
  <c r="J4" i="1"/>
  <c r="J62" i="1"/>
  <c r="J78" i="1"/>
  <c r="J3" i="1"/>
  <c r="J5" i="1"/>
  <c r="E41" i="101" l="1"/>
  <c r="G48" i="101"/>
  <c r="E35" i="101"/>
  <c r="E36" i="101"/>
  <c r="E31" i="101"/>
  <c r="E30" i="101"/>
  <c r="E12" i="101"/>
  <c r="E16" i="101"/>
  <c r="E22" i="101" s="1"/>
  <c r="D41" i="101"/>
  <c r="F22" i="101"/>
  <c r="F29" i="101" s="1"/>
  <c r="F34" i="101" s="1"/>
  <c r="D22" i="101"/>
  <c r="F37" i="101"/>
  <c r="D37" i="101"/>
  <c r="C48" i="101" s="1"/>
  <c r="C53" i="101" s="1"/>
  <c r="F17" i="101"/>
  <c r="D17" i="101"/>
  <c r="G10" i="101"/>
  <c r="H10" i="101" s="1"/>
  <c r="I10" i="101" s="1"/>
  <c r="J10" i="101" s="1"/>
  <c r="G55" i="101"/>
  <c r="J61" i="1"/>
  <c r="J86" i="1"/>
  <c r="E29" i="101" l="1"/>
  <c r="D29" i="101"/>
  <c r="D34" i="101" s="1"/>
  <c r="C24" i="101"/>
  <c r="C27" i="101" s="1"/>
  <c r="C47" i="101" s="1"/>
  <c r="E46" i="101"/>
  <c r="C13" i="101"/>
  <c r="E34" i="101"/>
  <c r="E37" i="101"/>
  <c r="D48" i="101" s="1"/>
  <c r="D53" i="101" s="1"/>
  <c r="D24" i="101"/>
  <c r="D27" i="101" s="1"/>
  <c r="D47" i="101" s="1"/>
  <c r="D52" i="101" s="1"/>
  <c r="E40" i="101"/>
  <c r="D46" i="101"/>
  <c r="E24" i="101"/>
  <c r="E27" i="101" s="1"/>
  <c r="E47" i="101" s="1"/>
  <c r="E51" i="101" s="1"/>
  <c r="E17" i="101"/>
  <c r="D40" i="101"/>
  <c r="J77" i="1"/>
  <c r="J119" i="1"/>
  <c r="J67" i="1"/>
  <c r="J89" i="1"/>
  <c r="J82" i="1"/>
  <c r="E48" i="1"/>
  <c r="F85" i="1"/>
  <c r="J41" i="1"/>
  <c r="J80" i="1"/>
  <c r="J74" i="1"/>
  <c r="J118" i="1"/>
  <c r="J113" i="1"/>
  <c r="J87" i="1"/>
  <c r="J72" i="1"/>
  <c r="C52" i="101" l="1"/>
  <c r="C55" i="101"/>
  <c r="C50" i="101"/>
  <c r="C51" i="101"/>
  <c r="E52" i="101"/>
  <c r="E55" i="101"/>
  <c r="E48" i="101"/>
  <c r="E53" i="101" s="1"/>
  <c r="D51" i="101"/>
  <c r="D50" i="101"/>
  <c r="D55" i="101"/>
  <c r="E50" i="101"/>
  <c r="J69" i="1"/>
  <c r="B22" i="4" l="1"/>
  <c r="B29" i="4" s="1"/>
  <c r="B17" i="4"/>
  <c r="F21" i="4"/>
  <c r="B46" i="4"/>
  <c r="B41" i="4"/>
  <c r="B32" i="4"/>
  <c r="B37" i="4"/>
  <c r="B13" i="4"/>
  <c r="J106" i="1"/>
  <c r="J64" i="1"/>
  <c r="B34" i="4" l="1"/>
  <c r="O9" i="1"/>
  <c r="J12" i="1"/>
  <c r="J66" i="1"/>
  <c r="J68" i="1"/>
  <c r="J47" i="1"/>
  <c r="J7" i="1"/>
  <c r="E30" i="49" l="1"/>
  <c r="D30" i="49" s="1"/>
  <c r="J31" i="49"/>
  <c r="F31" i="49"/>
  <c r="J30" i="49"/>
  <c r="I30" i="49" s="1"/>
  <c r="K32" i="49"/>
  <c r="J32" i="49" s="1"/>
  <c r="I32" i="49" s="1"/>
  <c r="G32" i="49"/>
  <c r="D12" i="49"/>
  <c r="E85" i="1"/>
  <c r="J32" i="1"/>
  <c r="J100" i="1"/>
  <c r="E31" i="49" l="1"/>
  <c r="D31" i="49" s="1"/>
  <c r="I31" i="49"/>
  <c r="H31" i="49" s="1"/>
  <c r="H30" i="49"/>
  <c r="F32" i="49"/>
  <c r="H32" i="49"/>
  <c r="F25" i="1"/>
  <c r="F114" i="1"/>
  <c r="J79" i="1"/>
  <c r="J50" i="1"/>
  <c r="J75" i="1"/>
  <c r="J27" i="1"/>
  <c r="J93" i="1"/>
  <c r="J85" i="1"/>
  <c r="J25" i="1"/>
  <c r="F9" i="1"/>
  <c r="J17" i="1"/>
  <c r="J90" i="1"/>
  <c r="J54" i="1"/>
  <c r="C9" i="1"/>
  <c r="J40" i="1"/>
  <c r="J11" i="1"/>
  <c r="J34" i="1"/>
  <c r="J35" i="1"/>
  <c r="F45" i="1"/>
  <c r="J53" i="1"/>
  <c r="J9" i="1"/>
  <c r="J20" i="1"/>
  <c r="J45" i="1"/>
  <c r="O114" i="1"/>
  <c r="J83" i="1"/>
  <c r="J110" i="1"/>
  <c r="C114" i="1"/>
  <c r="J8" i="1"/>
  <c r="J51" i="1"/>
  <c r="J108" i="1"/>
  <c r="J19" i="1"/>
  <c r="J31" i="1"/>
  <c r="E115" i="1"/>
  <c r="J115" i="1"/>
  <c r="J44" i="1"/>
  <c r="J33" i="1"/>
  <c r="J84" i="1"/>
  <c r="E20" i="1"/>
  <c r="E9" i="1"/>
  <c r="C115" i="1"/>
  <c r="J38" i="1"/>
  <c r="J26" i="1"/>
  <c r="J42" i="1"/>
  <c r="J56" i="1"/>
  <c r="O115" i="1"/>
  <c r="J39" i="1"/>
  <c r="J81" i="1"/>
  <c r="J114" i="1"/>
  <c r="F69" i="1"/>
  <c r="F115" i="1"/>
  <c r="C25" i="1"/>
  <c r="J46" i="1"/>
  <c r="J16" i="1"/>
  <c r="E25" i="1"/>
  <c r="F20" i="1"/>
  <c r="J13" i="1"/>
  <c r="J96" i="1"/>
  <c r="E32" i="49" l="1"/>
  <c r="D32" i="49" s="1"/>
  <c r="B46" i="43"/>
  <c r="B40" i="43"/>
  <c r="B41" i="43" s="1"/>
  <c r="B31" i="43"/>
  <c r="B30" i="43"/>
  <c r="B22" i="43"/>
  <c r="B29" i="43" s="1"/>
  <c r="B17" i="43"/>
  <c r="B13" i="43"/>
  <c r="E69" i="1"/>
  <c r="O25" i="1"/>
  <c r="E45" i="1"/>
  <c r="E114" i="1"/>
  <c r="J107" i="1"/>
  <c r="B13" i="14" l="1"/>
  <c r="D40" i="14"/>
  <c r="D41" i="14" s="1"/>
  <c r="C47" i="14"/>
  <c r="C40" i="14"/>
  <c r="C41" i="14" s="1"/>
  <c r="C31" i="14"/>
  <c r="E16" i="14"/>
  <c r="E21" i="14" s="1"/>
  <c r="D16" i="14"/>
  <c r="D21" i="14" s="1"/>
  <c r="C20" i="14"/>
  <c r="D36" i="14"/>
  <c r="C36" i="14" s="1"/>
  <c r="D35" i="14"/>
  <c r="C35" i="14" s="1"/>
  <c r="C37" i="14" s="1"/>
  <c r="B47" i="14"/>
  <c r="C22" i="14"/>
  <c r="B24" i="14" s="1"/>
  <c r="B26" i="14" s="1"/>
  <c r="C12" i="14"/>
  <c r="B46" i="14" s="1"/>
  <c r="E40" i="14"/>
  <c r="E41" i="14" s="1"/>
  <c r="E32" i="14"/>
  <c r="D32" i="14" s="1"/>
  <c r="C32" i="14" s="1"/>
  <c r="E30" i="14"/>
  <c r="D30" i="14" s="1"/>
  <c r="C30" i="14" s="1"/>
  <c r="F16" i="14"/>
  <c r="B16" i="14"/>
  <c r="B21" i="14" s="1"/>
  <c r="B40" i="14"/>
  <c r="B41" i="14" s="1"/>
  <c r="F37" i="14"/>
  <c r="E37" i="14"/>
  <c r="B37" i="14"/>
  <c r="C50" i="14" l="1"/>
  <c r="B50" i="14"/>
  <c r="C16" i="14"/>
  <c r="C21" i="14" s="1"/>
  <c r="D37" i="14"/>
  <c r="C48" i="14" s="1"/>
  <c r="C53" i="14" s="1"/>
  <c r="B55" i="14"/>
  <c r="B51" i="14"/>
  <c r="B52" i="14"/>
  <c r="C51" i="14"/>
  <c r="C55" i="14"/>
  <c r="C52" i="14"/>
  <c r="F21" i="14"/>
  <c r="C24" i="14"/>
  <c r="C26" i="14" s="1"/>
  <c r="C46" i="14"/>
  <c r="B48" i="14" l="1"/>
  <c r="B53" i="14" s="1"/>
  <c r="B55" i="78"/>
  <c r="B41" i="78"/>
  <c r="B30" i="78"/>
  <c r="B32" i="78"/>
  <c r="C55" i="78"/>
  <c r="C22" i="78"/>
  <c r="C41" i="78"/>
  <c r="C31" i="78"/>
  <c r="C36" i="78"/>
  <c r="C35" i="78"/>
  <c r="C12" i="78"/>
  <c r="C46" i="78" s="1"/>
  <c r="D55" i="78"/>
  <c r="D46" i="78"/>
  <c r="D41" i="78"/>
  <c r="B46" i="78" l="1"/>
  <c r="D30" i="78"/>
  <c r="D32" i="78"/>
  <c r="B13" i="78"/>
  <c r="C13" i="78"/>
  <c r="B17" i="78"/>
  <c r="C17" i="78"/>
  <c r="D17" i="78"/>
  <c r="B22" i="78"/>
  <c r="B29" i="78" s="1"/>
  <c r="D22" i="78"/>
  <c r="D29" i="78" s="1"/>
  <c r="C29" i="78"/>
  <c r="D37" i="78"/>
  <c r="C37" i="78"/>
  <c r="B37" i="78"/>
  <c r="D13" i="78"/>
  <c r="C69" i="1"/>
  <c r="C42" i="22" l="1"/>
  <c r="C24" i="22"/>
  <c r="C25" i="22" s="1"/>
  <c r="C21" i="22"/>
  <c r="C16" i="22" s="1"/>
  <c r="C17" i="22" s="1"/>
  <c r="C13" i="22"/>
  <c r="C29" i="22"/>
  <c r="C40" i="22"/>
  <c r="C41" i="22" s="1"/>
  <c r="C32" i="22"/>
  <c r="B32" i="22" s="1"/>
  <c r="B34" i="22" s="1"/>
  <c r="C37" i="22"/>
  <c r="D42" i="22"/>
  <c r="D40" i="22"/>
  <c r="D41" i="22" s="1"/>
  <c r="D29" i="22"/>
  <c r="D24" i="22"/>
  <c r="D25" i="22" s="1"/>
  <c r="D16" i="22"/>
  <c r="D12" i="22"/>
  <c r="B46" i="22" s="1"/>
  <c r="O62" i="1"/>
  <c r="O69" i="1"/>
  <c r="D17" i="22" l="1"/>
  <c r="C34" i="22"/>
  <c r="C46" i="22"/>
  <c r="D27" i="22"/>
  <c r="D47" i="22" s="1"/>
  <c r="D55" i="22" s="1"/>
  <c r="C27" i="22"/>
  <c r="C47" i="22" s="1"/>
  <c r="C52" i="22" s="1"/>
  <c r="D46" i="22"/>
  <c r="C50" i="22"/>
  <c r="D50" i="22"/>
  <c r="F7" i="1"/>
  <c r="C7" i="1"/>
  <c r="E7" i="1"/>
  <c r="D52" i="22" l="1"/>
  <c r="D51" i="22"/>
  <c r="C51" i="22"/>
  <c r="C55" i="22"/>
  <c r="G32" i="4"/>
  <c r="C32" i="4"/>
  <c r="C46" i="4"/>
  <c r="C41" i="4" l="1"/>
  <c r="C37" i="4"/>
  <c r="C22" i="4"/>
  <c r="C17" i="4"/>
  <c r="C13" i="4"/>
  <c r="C29" i="4" l="1"/>
  <c r="C34" i="4" s="1"/>
  <c r="O74" i="1"/>
  <c r="F62" i="1"/>
  <c r="C53" i="1"/>
  <c r="C47" i="1"/>
  <c r="F40" i="101" l="1"/>
  <c r="F50" i="101"/>
  <c r="F51" i="101"/>
  <c r="F52" i="101"/>
  <c r="F53" i="101"/>
  <c r="F55" i="101"/>
  <c r="H55" i="101"/>
  <c r="I55" i="101"/>
  <c r="O83" i="1"/>
  <c r="O67" i="1"/>
  <c r="O50" i="1"/>
  <c r="C64" i="1"/>
  <c r="C62" i="1"/>
  <c r="C83" i="1"/>
  <c r="C100" i="1"/>
  <c r="C50" i="1"/>
  <c r="E62" i="1"/>
  <c r="C67" i="1"/>
  <c r="F81" i="1"/>
  <c r="O47" i="1"/>
  <c r="E81" i="1"/>
  <c r="C81" i="1"/>
  <c r="C74" i="1"/>
  <c r="B31" i="31" l="1"/>
  <c r="B30" i="31"/>
  <c r="B13" i="31"/>
  <c r="B55" i="31"/>
  <c r="B46" i="31"/>
  <c r="B41" i="31"/>
  <c r="B37" i="31"/>
  <c r="B22" i="31"/>
  <c r="B29" i="31" s="1"/>
  <c r="B17" i="31"/>
  <c r="O53" i="1"/>
  <c r="F67" i="1"/>
  <c r="E47" i="1"/>
  <c r="O100" i="1"/>
  <c r="F74" i="1"/>
  <c r="F50" i="1"/>
  <c r="B55" i="33" l="1"/>
  <c r="B46" i="33"/>
  <c r="B40" i="33"/>
  <c r="B37" i="33"/>
  <c r="B22" i="33"/>
  <c r="B29" i="33" s="1"/>
  <c r="B34" i="33" s="1"/>
  <c r="B17" i="33"/>
  <c r="B13" i="33"/>
  <c r="O7" i="1"/>
  <c r="O81" i="1"/>
  <c r="E67" i="1"/>
  <c r="I29" i="49" l="1"/>
  <c r="E29" i="49"/>
  <c r="H12" i="49"/>
  <c r="D13" i="49" s="1"/>
  <c r="O64" i="1"/>
  <c r="E64" i="1"/>
  <c r="F64" i="1"/>
  <c r="F100" i="1"/>
  <c r="E50" i="1"/>
  <c r="E47" i="49" l="1"/>
  <c r="I21" i="49"/>
  <c r="I17" i="49"/>
  <c r="E21" i="49"/>
  <c r="E17" i="49"/>
  <c r="E13" i="49"/>
  <c r="E40" i="49"/>
  <c r="E50" i="49" s="1"/>
  <c r="F52" i="49"/>
  <c r="F50" i="49"/>
  <c r="F41" i="49"/>
  <c r="F55" i="49" s="1"/>
  <c r="F46" i="49"/>
  <c r="E46" i="49" s="1"/>
  <c r="D46" i="49" s="1"/>
  <c r="C46" i="49" s="1"/>
  <c r="B46" i="49" s="1"/>
  <c r="J16" i="49"/>
  <c r="J17" i="49" s="1"/>
  <c r="D16" i="49"/>
  <c r="D17" i="49" s="1"/>
  <c r="J36" i="49"/>
  <c r="F36" i="49"/>
  <c r="J35" i="49"/>
  <c r="F35" i="49"/>
  <c r="F13" i="49"/>
  <c r="F47" i="1"/>
  <c r="E100" i="1"/>
  <c r="I36" i="49" l="1"/>
  <c r="H36" i="49" s="1"/>
  <c r="J37" i="49"/>
  <c r="F37" i="49"/>
  <c r="I35" i="49"/>
  <c r="I37" i="49" s="1"/>
  <c r="E36" i="49"/>
  <c r="D36" i="49" s="1"/>
  <c r="F51" i="49"/>
  <c r="F17" i="49"/>
  <c r="E35" i="49"/>
  <c r="D35" i="49" s="1"/>
  <c r="E41" i="49"/>
  <c r="E83" i="1"/>
  <c r="E74" i="1"/>
  <c r="E53" i="1"/>
  <c r="F53" i="1"/>
  <c r="F83" i="1"/>
  <c r="H35" i="49" l="1"/>
  <c r="H37" i="49" s="1"/>
  <c r="E37" i="49"/>
  <c r="F48" i="49"/>
  <c r="F53" i="49" s="1"/>
  <c r="D37" i="49"/>
  <c r="E55" i="49"/>
  <c r="E52" i="49"/>
  <c r="E51" i="49"/>
  <c r="E4" i="1"/>
  <c r="F5" i="1"/>
  <c r="E54" i="1"/>
  <c r="F4" i="1"/>
  <c r="E5" i="1"/>
  <c r="F75" i="1"/>
  <c r="F3" i="1"/>
  <c r="F35" i="1"/>
  <c r="E13" i="1"/>
  <c r="E32" i="1"/>
  <c r="E75" i="1"/>
  <c r="E35" i="1"/>
  <c r="F107" i="1"/>
  <c r="E84" i="1"/>
  <c r="E48" i="49" l="1"/>
  <c r="E72" i="1"/>
  <c r="E66" i="1"/>
  <c r="E3" i="1"/>
  <c r="E53" i="49" l="1"/>
  <c r="D48" i="49"/>
  <c r="F110" i="1"/>
  <c r="F16" i="1"/>
  <c r="F113" i="1"/>
  <c r="E82" i="1"/>
  <c r="E80" i="1"/>
  <c r="E106" i="1"/>
  <c r="F119" i="1"/>
  <c r="F27" i="1"/>
  <c r="E110" i="1"/>
  <c r="E27" i="1"/>
  <c r="E90" i="1"/>
  <c r="F118" i="1"/>
  <c r="D53" i="49" l="1"/>
  <c r="F61" i="1"/>
  <c r="C55" i="32" l="1"/>
  <c r="B55" i="32"/>
  <c r="C46" i="32"/>
  <c r="B46" i="32"/>
  <c r="C37" i="32"/>
  <c r="B37" i="32"/>
  <c r="B22" i="32"/>
  <c r="C22" i="32"/>
  <c r="B17" i="32"/>
  <c r="C17" i="32"/>
  <c r="B13" i="32"/>
  <c r="C13" i="32"/>
  <c r="F40" i="1"/>
  <c r="C87" i="1"/>
  <c r="E39" i="1"/>
  <c r="C118" i="1"/>
  <c r="F19" i="1"/>
  <c r="E107" i="1"/>
  <c r="E44" i="1"/>
  <c r="C110" i="1"/>
  <c r="F39" i="1"/>
  <c r="C72" i="1"/>
  <c r="E89" i="1"/>
  <c r="F51" i="1"/>
  <c r="E77" i="1"/>
  <c r="E8" i="1"/>
  <c r="F44" i="1"/>
  <c r="C84" i="1"/>
  <c r="C79" i="1"/>
  <c r="F8" i="1"/>
  <c r="F54" i="1"/>
  <c r="C113" i="1"/>
  <c r="F56" i="1"/>
  <c r="F26" i="1"/>
  <c r="E17" i="1"/>
  <c r="E119" i="1"/>
  <c r="C35" i="1"/>
  <c r="C46" i="1"/>
  <c r="F68" i="1"/>
  <c r="E51" i="1"/>
  <c r="E96" i="1"/>
  <c r="E87" i="1"/>
  <c r="F66" i="1"/>
  <c r="F72" i="1"/>
  <c r="F31" i="1"/>
  <c r="F13" i="1"/>
  <c r="E93" i="1"/>
  <c r="C80" i="1"/>
  <c r="C3" i="1"/>
  <c r="F80" i="1"/>
  <c r="F96" i="1"/>
  <c r="C90" i="1"/>
  <c r="F79" i="1"/>
  <c r="E34" i="1"/>
  <c r="F41" i="1"/>
  <c r="F34" i="1"/>
  <c r="C66" i="1"/>
  <c r="F42" i="1"/>
  <c r="C86" i="1"/>
  <c r="F12" i="1"/>
  <c r="F78" i="1"/>
  <c r="E19" i="1"/>
  <c r="E11" i="1"/>
  <c r="C78" i="1"/>
  <c r="F32" i="1"/>
  <c r="E42" i="1"/>
  <c r="C56" i="1"/>
  <c r="E46" i="1"/>
  <c r="C89" i="1"/>
  <c r="E118" i="1"/>
  <c r="E40" i="1"/>
  <c r="C19" i="1"/>
  <c r="C54" i="1"/>
  <c r="C61" i="1"/>
  <c r="F86" i="1"/>
  <c r="E33" i="1"/>
  <c r="C68" i="1"/>
  <c r="C96" i="1"/>
  <c r="C51" i="1"/>
  <c r="C119" i="1"/>
  <c r="E86" i="1"/>
  <c r="F89" i="1"/>
  <c r="F33" i="1"/>
  <c r="E61" i="1"/>
  <c r="C108" i="1"/>
  <c r="E79" i="1"/>
  <c r="E31" i="1"/>
  <c r="C77" i="1"/>
  <c r="E108" i="1"/>
  <c r="C5" i="1"/>
  <c r="F106" i="1"/>
  <c r="E113" i="1"/>
  <c r="F11" i="1"/>
  <c r="F84" i="1"/>
  <c r="C44" i="1"/>
  <c r="E38" i="1"/>
  <c r="C82" i="1"/>
  <c r="C4" i="1"/>
  <c r="B22" i="70" l="1"/>
  <c r="B17" i="70"/>
  <c r="F36" i="70"/>
  <c r="F35" i="70"/>
  <c r="B13" i="70"/>
  <c r="B55" i="70"/>
  <c r="B31" i="70"/>
  <c r="B30" i="70"/>
  <c r="B32" i="70"/>
  <c r="B36" i="70"/>
  <c r="E78" i="1"/>
  <c r="F46" i="1"/>
  <c r="E41" i="1"/>
  <c r="C41" i="1"/>
  <c r="C31" i="1"/>
  <c r="E56" i="1"/>
  <c r="E68" i="1"/>
  <c r="C75" i="1"/>
  <c r="E16" i="1"/>
  <c r="F17" i="1"/>
  <c r="B29" i="70" l="1"/>
  <c r="F108" i="1"/>
  <c r="C8" i="1"/>
  <c r="F87" i="1"/>
  <c r="C93" i="1"/>
  <c r="C42" i="1"/>
  <c r="C13" i="1"/>
  <c r="C11" i="1"/>
  <c r="E26" i="1"/>
  <c r="C33" i="1"/>
  <c r="F38" i="1"/>
  <c r="F82" i="1"/>
  <c r="C34" i="1"/>
  <c r="F77" i="1"/>
  <c r="B35" i="70" l="1"/>
  <c r="B37" i="70" s="1"/>
  <c r="F93" i="1"/>
  <c r="B55" i="55" l="1"/>
  <c r="B46" i="55"/>
  <c r="B41" i="55"/>
  <c r="B32" i="55"/>
  <c r="B37" i="55"/>
  <c r="B22" i="55"/>
  <c r="B17" i="55"/>
  <c r="B13" i="55"/>
  <c r="C26" i="1"/>
  <c r="C32" i="1"/>
  <c r="C27" i="1"/>
  <c r="C16" i="1"/>
  <c r="E12" i="1"/>
  <c r="C17" i="1"/>
  <c r="B29" i="55" l="1"/>
  <c r="E42" i="53" l="1"/>
  <c r="D42" i="53"/>
  <c r="C42" i="53"/>
  <c r="B29" i="53"/>
  <c r="B16" i="53"/>
  <c r="B17" i="53" s="1"/>
  <c r="B42" i="53"/>
  <c r="B40" i="53"/>
  <c r="B41" i="53" s="1"/>
  <c r="C46" i="43" l="1"/>
  <c r="C40" i="43"/>
  <c r="C22" i="43"/>
  <c r="C17" i="43"/>
  <c r="C13" i="43"/>
  <c r="C29" i="43" l="1"/>
  <c r="C55" i="33" l="1"/>
  <c r="C46" i="33"/>
  <c r="C40" i="33"/>
  <c r="C37" i="33"/>
  <c r="C31" i="33"/>
  <c r="C30" i="33"/>
  <c r="C22" i="33"/>
  <c r="C17" i="33"/>
  <c r="C13" i="33"/>
  <c r="C29" i="33" l="1"/>
  <c r="C34" i="33" s="1"/>
  <c r="C55" i="31" l="1"/>
  <c r="C46" i="31"/>
  <c r="C41" i="31"/>
  <c r="C17" i="31"/>
  <c r="C32" i="31"/>
  <c r="C22" i="31"/>
  <c r="C36" i="31"/>
  <c r="C35" i="31"/>
  <c r="C37" i="31" s="1"/>
  <c r="C13" i="31"/>
  <c r="C29" i="31" l="1"/>
  <c r="E42" i="22" l="1"/>
  <c r="E40" i="22"/>
  <c r="E41" i="22" s="1"/>
  <c r="E29" i="22"/>
  <c r="E24" i="22"/>
  <c r="E16" i="22"/>
  <c r="E17" i="22" s="1"/>
  <c r="E13" i="22"/>
  <c r="E25" i="22" l="1"/>
  <c r="E27" i="22" s="1"/>
  <c r="E47" i="22" s="1"/>
  <c r="E55" i="22" l="1"/>
  <c r="E50" i="22"/>
  <c r="E51" i="22"/>
  <c r="E52" i="22"/>
  <c r="B55" i="17"/>
  <c r="B46" i="17"/>
  <c r="B40" i="17"/>
  <c r="B32" i="17"/>
  <c r="B30" i="17"/>
  <c r="B36" i="17"/>
  <c r="B37" i="17" s="1"/>
  <c r="B22" i="17"/>
  <c r="B29" i="17" s="1"/>
  <c r="B17" i="17"/>
  <c r="B13" i="17"/>
  <c r="B42" i="6" l="1"/>
  <c r="B46" i="6"/>
  <c r="B41" i="6"/>
  <c r="B32" i="6"/>
  <c r="B31" i="6"/>
  <c r="B30" i="6"/>
  <c r="B17" i="6"/>
  <c r="B22" i="6"/>
  <c r="B29" i="6" s="1"/>
  <c r="B36" i="6"/>
  <c r="B35" i="6"/>
  <c r="B37" i="6" s="1"/>
  <c r="B13" i="6"/>
  <c r="B55" i="5"/>
  <c r="B46" i="5"/>
  <c r="B41" i="5"/>
  <c r="B24" i="5"/>
  <c r="B27" i="5" s="1"/>
  <c r="B47" i="5" s="1"/>
  <c r="B21" i="5"/>
  <c r="B16" i="5" s="1"/>
  <c r="B17" i="5" s="1"/>
  <c r="B29" i="5"/>
  <c r="F30" i="5"/>
  <c r="B30" i="5"/>
  <c r="B13" i="5"/>
  <c r="B52" i="5" l="1"/>
  <c r="B50" i="5"/>
  <c r="B51" i="5"/>
  <c r="B33" i="5"/>
  <c r="F29" i="64" l="1"/>
  <c r="F13" i="64"/>
  <c r="F17" i="64" l="1"/>
  <c r="E17" i="4"/>
  <c r="D17" i="4"/>
  <c r="E55" i="4"/>
  <c r="D55" i="4"/>
  <c r="D41" i="4"/>
  <c r="E41" i="4"/>
  <c r="D22" i="4"/>
  <c r="F46" i="4" l="1"/>
  <c r="E22" i="4"/>
  <c r="E29" i="4" s="1"/>
  <c r="E34" i="4" s="1"/>
  <c r="D46" i="4"/>
  <c r="E46" i="4"/>
  <c r="E37" i="4"/>
  <c r="D37" i="4"/>
  <c r="D29" i="4"/>
  <c r="D34" i="4" s="1"/>
  <c r="E13" i="4"/>
  <c r="D13" i="4"/>
  <c r="O93" i="1"/>
  <c r="B48" i="4" l="1"/>
  <c r="B53" i="4" s="1"/>
  <c r="B24" i="4"/>
  <c r="B27" i="4" s="1"/>
  <c r="B47" i="4" s="1"/>
  <c r="B50" i="4" l="1"/>
  <c r="B55" i="4"/>
  <c r="B51" i="4"/>
  <c r="B52" i="4"/>
  <c r="O89" i="1"/>
  <c r="K22" i="32" l="1"/>
  <c r="J22" i="32"/>
  <c r="I22" i="32"/>
  <c r="H22" i="32"/>
  <c r="G22" i="32"/>
  <c r="F22" i="32"/>
  <c r="E22" i="32"/>
  <c r="D22" i="32"/>
  <c r="C24" i="32" l="1"/>
  <c r="C27" i="32" s="1"/>
  <c r="C47" i="32" s="1"/>
  <c r="B24" i="32"/>
  <c r="B27" i="32" s="1"/>
  <c r="B47" i="32" s="1"/>
  <c r="B52" i="32" l="1"/>
  <c r="B51" i="32"/>
  <c r="B50" i="32"/>
  <c r="C52" i="32"/>
  <c r="C50" i="32"/>
  <c r="C51" i="32"/>
  <c r="H22" i="50"/>
  <c r="H21" i="50"/>
  <c r="H20" i="50"/>
  <c r="I21" i="50"/>
  <c r="I20" i="50"/>
  <c r="E21" i="50"/>
  <c r="E20" i="50"/>
  <c r="F21" i="50"/>
  <c r="D22" i="50"/>
  <c r="G21" i="50"/>
  <c r="G20" i="50"/>
  <c r="C21" i="50"/>
  <c r="C20" i="50"/>
  <c r="C33" i="50" s="1"/>
  <c r="B21" i="50"/>
  <c r="F42" i="50"/>
  <c r="E42" i="50"/>
  <c r="D42" i="50"/>
  <c r="C42" i="50"/>
  <c r="B42" i="50"/>
  <c r="E16" i="50" l="1"/>
  <c r="I16" i="50"/>
  <c r="G33" i="50"/>
  <c r="G16" i="50"/>
  <c r="I33" i="50"/>
  <c r="H33" i="50"/>
  <c r="C16" i="50"/>
  <c r="D21" i="50"/>
  <c r="E33" i="50"/>
  <c r="H16" i="50"/>
  <c r="G41" i="14" l="1"/>
  <c r="H10" i="14"/>
  <c r="I10" i="14" s="1"/>
  <c r="J10" i="14" s="1"/>
  <c r="K10" i="14" s="1"/>
  <c r="L10" i="14" s="1"/>
  <c r="M10" i="14" s="1"/>
  <c r="N10" i="14" s="1"/>
  <c r="E40" i="71" l="1"/>
  <c r="E41" i="71" s="1"/>
  <c r="D40" i="71"/>
  <c r="D39" i="71"/>
  <c r="D41" i="71" s="1"/>
  <c r="C40" i="71"/>
  <c r="C41" i="71" s="1"/>
  <c r="F40" i="71"/>
  <c r="F41" i="71" s="1"/>
  <c r="B40" i="71"/>
  <c r="B39" i="71"/>
  <c r="B41" i="71" s="1"/>
  <c r="I31" i="71"/>
  <c r="H31" i="71"/>
  <c r="G31" i="71"/>
  <c r="F31" i="71"/>
  <c r="E31" i="71"/>
  <c r="D31" i="71"/>
  <c r="C31" i="71"/>
  <c r="B31" i="71"/>
  <c r="I20" i="71"/>
  <c r="H20" i="71"/>
  <c r="G20" i="71"/>
  <c r="F20" i="71"/>
  <c r="E20" i="71"/>
  <c r="D20" i="71"/>
  <c r="C20" i="71"/>
  <c r="B20" i="71"/>
  <c r="E21" i="71" l="1"/>
  <c r="C21" i="71"/>
  <c r="G21" i="71"/>
  <c r="F21" i="71"/>
  <c r="D21" i="71"/>
  <c r="I21" i="71"/>
  <c r="H21" i="71"/>
  <c r="B21" i="71"/>
  <c r="J17" i="70" l="1"/>
  <c r="I16" i="70"/>
  <c r="I12" i="70"/>
  <c r="F46" i="70" s="1"/>
  <c r="F13" i="70"/>
  <c r="F17" i="70"/>
  <c r="I31" i="70"/>
  <c r="I30" i="70"/>
  <c r="E31" i="70"/>
  <c r="E30" i="70"/>
  <c r="I35" i="70"/>
  <c r="I36" i="70"/>
  <c r="I37" i="70" s="1"/>
  <c r="I32" i="70"/>
  <c r="E35" i="70"/>
  <c r="E16" i="70"/>
  <c r="E22" i="70" s="1"/>
  <c r="E12" i="70"/>
  <c r="J32" i="70"/>
  <c r="J36" i="70"/>
  <c r="J35" i="70"/>
  <c r="J37" i="70" s="1"/>
  <c r="F32" i="70"/>
  <c r="E32" i="70" s="1"/>
  <c r="E36" i="70"/>
  <c r="J22" i="70"/>
  <c r="J29" i="70" s="1"/>
  <c r="F22" i="70"/>
  <c r="F29" i="70" s="1"/>
  <c r="I17" i="70" l="1"/>
  <c r="C46" i="70"/>
  <c r="B46" i="70"/>
  <c r="E46" i="70"/>
  <c r="E29" i="70"/>
  <c r="E37" i="70"/>
  <c r="F37" i="70"/>
  <c r="D46" i="70"/>
  <c r="E17" i="70"/>
  <c r="G46" i="70"/>
  <c r="I22" i="70"/>
  <c r="I29" i="70" s="1"/>
  <c r="E13" i="70"/>
  <c r="F41" i="5" l="1"/>
  <c r="E41" i="5"/>
  <c r="C40" i="5"/>
  <c r="C41" i="5" s="1"/>
  <c r="D40" i="5"/>
  <c r="D41" i="5" s="1"/>
  <c r="J36" i="5" l="1"/>
  <c r="J35" i="5"/>
  <c r="J21" i="5"/>
  <c r="J16" i="5" s="1"/>
  <c r="F21" i="5"/>
  <c r="F33" i="5" s="1"/>
  <c r="I21" i="5"/>
  <c r="I33" i="5" s="1"/>
  <c r="E21" i="5"/>
  <c r="E33" i="5" s="1"/>
  <c r="H35" i="5"/>
  <c r="H21" i="5"/>
  <c r="H33" i="5" s="1"/>
  <c r="D21" i="5"/>
  <c r="D33" i="5" s="1"/>
  <c r="G21" i="5"/>
  <c r="G33" i="5" s="1"/>
  <c r="C21" i="5"/>
  <c r="C33" i="5" s="1"/>
  <c r="F16" i="5" l="1"/>
  <c r="C16" i="5"/>
  <c r="D16" i="5"/>
  <c r="I16" i="5"/>
  <c r="G35" i="5"/>
  <c r="F35" i="5" s="1"/>
  <c r="H16" i="5"/>
  <c r="E16" i="5"/>
  <c r="G16" i="5"/>
  <c r="J30" i="33" l="1"/>
  <c r="J31" i="33"/>
  <c r="J32" i="33"/>
  <c r="H40" i="33"/>
  <c r="G40" i="33"/>
  <c r="F40" i="33"/>
  <c r="E40" i="33"/>
  <c r="D40" i="33"/>
  <c r="F32" i="33" l="1"/>
  <c r="F30" i="33"/>
  <c r="F31" i="33"/>
  <c r="G10" i="4" l="1"/>
  <c r="H10" i="4" s="1"/>
  <c r="I10" i="4" s="1"/>
  <c r="J10" i="4" s="1"/>
  <c r="K10" i="4" s="1"/>
  <c r="L10" i="4" s="1"/>
  <c r="M10" i="4" s="1"/>
  <c r="F41" i="4"/>
  <c r="D35" i="5" l="1"/>
  <c r="I32" i="5"/>
  <c r="E32" i="5"/>
  <c r="E36" i="5"/>
  <c r="D36" i="5" s="1"/>
  <c r="C36" i="5" s="1"/>
  <c r="I36" i="5"/>
  <c r="B36" i="5" l="1"/>
  <c r="D32" i="5"/>
  <c r="H32" i="5"/>
  <c r="H36" i="5"/>
  <c r="G36" i="5" s="1"/>
  <c r="C35" i="5"/>
  <c r="B35" i="5" s="1"/>
  <c r="G42" i="6"/>
  <c r="F42" i="6"/>
  <c r="E42" i="6"/>
  <c r="D42" i="6"/>
  <c r="C42" i="6"/>
  <c r="G40" i="6"/>
  <c r="F40" i="6"/>
  <c r="E40" i="6"/>
  <c r="D40" i="6"/>
  <c r="C40" i="6"/>
  <c r="C32" i="5" l="1"/>
  <c r="B32" i="5" s="1"/>
  <c r="B34" i="5" s="1"/>
  <c r="G32" i="5"/>
  <c r="F32" i="5" s="1"/>
  <c r="B37" i="5"/>
  <c r="F36" i="5"/>
  <c r="G40" i="17" l="1"/>
  <c r="F40" i="17"/>
  <c r="E40" i="17"/>
  <c r="D40" i="17"/>
  <c r="C40" i="17"/>
  <c r="J42" i="22" l="1"/>
  <c r="I42" i="22"/>
  <c r="H42" i="22"/>
  <c r="G42" i="22"/>
  <c r="F42" i="22"/>
  <c r="I16" i="22"/>
  <c r="M16" i="22"/>
  <c r="H16" i="22"/>
  <c r="K16" i="22"/>
  <c r="L21" i="22"/>
  <c r="L16" i="22" s="1"/>
  <c r="G16" i="22"/>
  <c r="J16" i="22"/>
  <c r="F16" i="22"/>
  <c r="J41" i="22"/>
  <c r="I41" i="22"/>
  <c r="G40" i="22"/>
  <c r="G41" i="22" s="1"/>
  <c r="H40" i="22"/>
  <c r="H41" i="22" s="1"/>
  <c r="F40" i="22"/>
  <c r="F41" i="22" s="1"/>
  <c r="M32" i="22"/>
  <c r="M31" i="22"/>
  <c r="M30" i="22"/>
  <c r="M36" i="22"/>
  <c r="M35" i="22"/>
  <c r="L36" i="22"/>
  <c r="L35" i="22"/>
  <c r="L32" i="22"/>
  <c r="L31" i="22"/>
  <c r="L30" i="22"/>
  <c r="L12" i="22"/>
  <c r="H12" i="22"/>
  <c r="K32" i="22"/>
  <c r="J32" i="22" s="1"/>
  <c r="G32" i="22"/>
  <c r="J31" i="22"/>
  <c r="J30" i="22"/>
  <c r="F31" i="22"/>
  <c r="E31" i="22" s="1"/>
  <c r="D31" i="22" s="1"/>
  <c r="F30" i="22"/>
  <c r="E30" i="22" s="1"/>
  <c r="D30" i="22" s="1"/>
  <c r="J36" i="22"/>
  <c r="I36" i="22" s="1"/>
  <c r="J35" i="22"/>
  <c r="I35" i="22" s="1"/>
  <c r="F36" i="22"/>
  <c r="E36" i="22" s="1"/>
  <c r="D36" i="22" s="1"/>
  <c r="F35" i="22"/>
  <c r="D13" i="22" l="1"/>
  <c r="E46" i="22"/>
  <c r="H35" i="22"/>
  <c r="E35" i="22"/>
  <c r="F32" i="22"/>
  <c r="E32" i="22" s="1"/>
  <c r="D32" i="22" s="1"/>
  <c r="I30" i="22"/>
  <c r="H30" i="22" s="1"/>
  <c r="I31" i="22"/>
  <c r="H31" i="22" s="1"/>
  <c r="H36" i="22"/>
  <c r="I32" i="22"/>
  <c r="H32" i="22" s="1"/>
  <c r="D35" i="22" l="1"/>
  <c r="E34" i="22"/>
  <c r="E37" i="22"/>
  <c r="D34" i="22" l="1"/>
  <c r="D37" i="22"/>
  <c r="J31" i="31"/>
  <c r="J30" i="31"/>
  <c r="J36" i="31"/>
  <c r="J35" i="31"/>
  <c r="J32" i="31"/>
  <c r="F41" i="31"/>
  <c r="B48" i="22" l="1"/>
  <c r="B53" i="22" s="1"/>
  <c r="H41" i="31"/>
  <c r="E41" i="31"/>
  <c r="G41" i="31"/>
  <c r="D41" i="31"/>
  <c r="O34" i="1" l="1"/>
  <c r="D40" i="43" l="1"/>
  <c r="K32" i="43"/>
  <c r="K36" i="43"/>
  <c r="K35" i="43"/>
  <c r="J35" i="43"/>
  <c r="J30" i="43"/>
  <c r="J31" i="43"/>
  <c r="F31" i="43"/>
  <c r="F30" i="43"/>
  <c r="D36" i="43"/>
  <c r="D35" i="43"/>
  <c r="D32" i="43"/>
  <c r="J32" i="43"/>
  <c r="H32" i="43"/>
  <c r="G32" i="43" s="1"/>
  <c r="F32" i="43" s="1"/>
  <c r="J36" i="43"/>
  <c r="H36" i="43"/>
  <c r="G36" i="43" s="1"/>
  <c r="F36" i="43" s="1"/>
  <c r="H35" i="43"/>
  <c r="G35" i="43" s="1"/>
  <c r="F35" i="43" s="1"/>
  <c r="C32" i="43" l="1"/>
  <c r="B32" i="43" s="1"/>
  <c r="C36" i="43"/>
  <c r="B36" i="43" s="1"/>
  <c r="C35" i="43"/>
  <c r="C37" i="43" s="1"/>
  <c r="H40" i="43"/>
  <c r="G40" i="43"/>
  <c r="F40" i="43"/>
  <c r="E40" i="43"/>
  <c r="B35" i="43" l="1"/>
  <c r="B37" i="43" s="1"/>
  <c r="G41" i="49" l="1"/>
  <c r="G22" i="49"/>
  <c r="K21" i="49"/>
  <c r="K22" i="49" s="1"/>
  <c r="J22" i="49" s="1"/>
  <c r="H10" i="49"/>
  <c r="I10" i="49" s="1"/>
  <c r="J10" i="49" s="1"/>
  <c r="K10" i="49" s="1"/>
  <c r="L10" i="49" s="1"/>
  <c r="J29" i="49" l="1"/>
  <c r="H22" i="49"/>
  <c r="F24" i="49" s="1"/>
  <c r="F27" i="49" s="1"/>
  <c r="F29" i="49"/>
  <c r="D22" i="49"/>
  <c r="I24" i="49"/>
  <c r="I27" i="49" s="1"/>
  <c r="J24" i="49"/>
  <c r="J27" i="49" s="1"/>
  <c r="J21" i="49"/>
  <c r="E24" i="49"/>
  <c r="E27" i="49" s="1"/>
  <c r="F20" i="50"/>
  <c r="B20" i="50"/>
  <c r="F40" i="50"/>
  <c r="F41" i="50" s="1"/>
  <c r="E40" i="50"/>
  <c r="E41" i="50" s="1"/>
  <c r="C40" i="50"/>
  <c r="C41" i="50" s="1"/>
  <c r="D40" i="50"/>
  <c r="D41" i="50" s="1"/>
  <c r="B40" i="50"/>
  <c r="B41" i="50" s="1"/>
  <c r="I36" i="50"/>
  <c r="I35" i="50"/>
  <c r="I32" i="50"/>
  <c r="I31" i="50"/>
  <c r="I30" i="50"/>
  <c r="H32" i="50"/>
  <c r="H36" i="50"/>
  <c r="H35" i="50"/>
  <c r="H31" i="50"/>
  <c r="H30" i="50"/>
  <c r="H12" i="50"/>
  <c r="D12" i="50"/>
  <c r="G32" i="50"/>
  <c r="C32" i="50"/>
  <c r="B32" i="50" s="1"/>
  <c r="F31" i="50"/>
  <c r="E31" i="50" s="1"/>
  <c r="D31" i="50" s="1"/>
  <c r="F30" i="50"/>
  <c r="B31" i="50"/>
  <c r="B30" i="50"/>
  <c r="F36" i="50"/>
  <c r="E36" i="50" s="1"/>
  <c r="F35" i="50"/>
  <c r="E35" i="50" s="1"/>
  <c r="B36" i="50"/>
  <c r="B35" i="50"/>
  <c r="H29" i="49" l="1"/>
  <c r="H16" i="49"/>
  <c r="H17" i="49" s="1"/>
  <c r="H24" i="49"/>
  <c r="H27" i="49" s="1"/>
  <c r="D29" i="49"/>
  <c r="B24" i="49"/>
  <c r="B27" i="49" s="1"/>
  <c r="C24" i="49"/>
  <c r="C27" i="49" s="1"/>
  <c r="D21" i="49"/>
  <c r="D24" i="49"/>
  <c r="D27" i="49" s="1"/>
  <c r="D47" i="49"/>
  <c r="D35" i="50"/>
  <c r="E30" i="50"/>
  <c r="D30" i="50" s="1"/>
  <c r="D36" i="50"/>
  <c r="B33" i="50"/>
  <c r="B16" i="50"/>
  <c r="F32" i="50"/>
  <c r="E32" i="50" s="1"/>
  <c r="F33" i="50"/>
  <c r="F16" i="50"/>
  <c r="D20" i="50"/>
  <c r="D55" i="49" l="1"/>
  <c r="C47" i="49"/>
  <c r="D50" i="49"/>
  <c r="D51" i="49"/>
  <c r="D52" i="49"/>
  <c r="D33" i="50"/>
  <c r="D16" i="50"/>
  <c r="D32" i="50"/>
  <c r="C50" i="49" l="1"/>
  <c r="B47" i="49"/>
  <c r="C55" i="49"/>
  <c r="C52" i="49"/>
  <c r="C51" i="49"/>
  <c r="F40" i="53"/>
  <c r="F41" i="53" s="1"/>
  <c r="C40" i="53"/>
  <c r="C41" i="53" s="1"/>
  <c r="E40" i="53"/>
  <c r="E41" i="53" s="1"/>
  <c r="D40" i="53"/>
  <c r="D41" i="53" s="1"/>
  <c r="I21" i="53"/>
  <c r="I20" i="53"/>
  <c r="I22" i="53"/>
  <c r="J16" i="53"/>
  <c r="F16" i="53"/>
  <c r="E21" i="53"/>
  <c r="E20" i="53"/>
  <c r="E22" i="53"/>
  <c r="H16" i="53"/>
  <c r="D16" i="53"/>
  <c r="G16" i="53"/>
  <c r="C16" i="53"/>
  <c r="I36" i="53"/>
  <c r="I35" i="53"/>
  <c r="I12" i="53"/>
  <c r="M31" i="53"/>
  <c r="I31" i="53" s="1"/>
  <c r="M30" i="53"/>
  <c r="M32" i="53"/>
  <c r="I32" i="53" s="1"/>
  <c r="F12" i="53"/>
  <c r="B13" i="53" s="1"/>
  <c r="H31" i="53"/>
  <c r="G31" i="53" s="1"/>
  <c r="D31" i="53"/>
  <c r="H30" i="53"/>
  <c r="G30" i="53" s="1"/>
  <c r="F30" i="53" s="1"/>
  <c r="D30" i="53"/>
  <c r="H32" i="53"/>
  <c r="G32" i="53" s="1"/>
  <c r="D32" i="53"/>
  <c r="G36" i="53"/>
  <c r="G35" i="53"/>
  <c r="F35" i="53" s="1"/>
  <c r="C36" i="53"/>
  <c r="B36" i="53" s="1"/>
  <c r="C35" i="53"/>
  <c r="B35" i="53" s="1"/>
  <c r="C30" i="53" l="1"/>
  <c r="B30" i="53"/>
  <c r="C32" i="53"/>
  <c r="B32" i="53" s="1"/>
  <c r="B37" i="53"/>
  <c r="C31" i="53"/>
  <c r="B31" i="53"/>
  <c r="E12" i="53"/>
  <c r="B46" i="53" s="1"/>
  <c r="E16" i="53"/>
  <c r="B24" i="53"/>
  <c r="B27" i="53" s="1"/>
  <c r="B47" i="53" s="1"/>
  <c r="F31" i="53"/>
  <c r="E31" i="53" s="1"/>
  <c r="B52" i="49"/>
  <c r="B51" i="49"/>
  <c r="B50" i="49"/>
  <c r="B55" i="49"/>
  <c r="F36" i="53"/>
  <c r="E36" i="53" s="1"/>
  <c r="E35" i="53"/>
  <c r="I16" i="53"/>
  <c r="F32" i="53"/>
  <c r="E32" i="53" s="1"/>
  <c r="B52" i="53" l="1"/>
  <c r="B51" i="53"/>
  <c r="B50" i="53"/>
  <c r="B55" i="53"/>
  <c r="C32" i="55"/>
  <c r="G40" i="55"/>
  <c r="G41" i="55" s="1"/>
  <c r="F40" i="55"/>
  <c r="F41" i="55" s="1"/>
  <c r="E40" i="55"/>
  <c r="E41" i="55" s="1"/>
  <c r="D40" i="55"/>
  <c r="D41" i="55" s="1"/>
  <c r="C40" i="55"/>
  <c r="C41" i="55" s="1"/>
  <c r="F37" i="64" l="1"/>
  <c r="F24" i="64"/>
  <c r="F27" i="64" s="1"/>
  <c r="F47" i="64" s="1"/>
  <c r="F55" i="64" s="1"/>
  <c r="F46" i="64"/>
  <c r="F51" i="64" l="1"/>
  <c r="F52" i="64"/>
  <c r="F50" i="64"/>
  <c r="I41" i="78" l="1"/>
  <c r="H41" i="78"/>
  <c r="G41" i="78"/>
  <c r="F41" i="78"/>
  <c r="E41" i="78"/>
  <c r="K30" i="78"/>
  <c r="J30" i="78"/>
  <c r="F30" i="78"/>
  <c r="I30" i="78"/>
  <c r="E30" i="78"/>
  <c r="L30" i="78"/>
  <c r="H30" i="78"/>
  <c r="K32" i="78"/>
  <c r="J32" i="78"/>
  <c r="F32" i="78"/>
  <c r="K31" i="78"/>
  <c r="G31" i="78"/>
  <c r="K36" i="78"/>
  <c r="K35" i="78"/>
  <c r="G36" i="78"/>
  <c r="G35" i="78"/>
  <c r="K12" i="78"/>
  <c r="L32" i="78"/>
  <c r="H32" i="78"/>
  <c r="I32" i="78"/>
  <c r="E32" i="78"/>
  <c r="C32" i="78" l="1"/>
  <c r="C30" i="78"/>
  <c r="G32" i="78"/>
  <c r="G30" i="78"/>
  <c r="O5" i="1" l="1"/>
  <c r="O78" i="1"/>
  <c r="O51" i="1"/>
  <c r="O16" i="1"/>
  <c r="O8" i="1"/>
  <c r="O79" i="1"/>
  <c r="O54" i="1"/>
  <c r="O32" i="1"/>
  <c r="O35" i="1"/>
  <c r="O26" i="1"/>
  <c r="O56" i="1"/>
  <c r="O4" i="1"/>
  <c r="O13" i="1"/>
  <c r="O87" i="1"/>
  <c r="O42" i="1"/>
  <c r="O3" i="1"/>
  <c r="O75" i="1"/>
  <c r="O31" i="1"/>
  <c r="O86" i="1"/>
  <c r="O110" i="1"/>
  <c r="L55" i="78" l="1"/>
  <c r="K55" i="78"/>
  <c r="J55" i="78"/>
  <c r="I55" i="78"/>
  <c r="H55" i="78"/>
  <c r="G55" i="78"/>
  <c r="F55" i="78"/>
  <c r="E55" i="78"/>
  <c r="I46" i="78"/>
  <c r="H46" i="78"/>
  <c r="G46" i="78"/>
  <c r="F46" i="78"/>
  <c r="E46" i="78"/>
  <c r="L37" i="78"/>
  <c r="K37" i="78"/>
  <c r="J37" i="78"/>
  <c r="I37" i="78"/>
  <c r="H37" i="78"/>
  <c r="G37" i="78"/>
  <c r="F37" i="78"/>
  <c r="E37" i="78"/>
  <c r="L22" i="78"/>
  <c r="L29" i="78" s="1"/>
  <c r="K22" i="78"/>
  <c r="K29" i="78" s="1"/>
  <c r="J22" i="78"/>
  <c r="J29" i="78" s="1"/>
  <c r="I22" i="78"/>
  <c r="I29" i="78" s="1"/>
  <c r="H22" i="78"/>
  <c r="H29" i="78" s="1"/>
  <c r="H34" i="78" s="1"/>
  <c r="G22" i="78"/>
  <c r="G29" i="78" s="1"/>
  <c r="F22" i="78"/>
  <c r="F29" i="78" s="1"/>
  <c r="E22" i="78"/>
  <c r="L17" i="78"/>
  <c r="K17" i="78"/>
  <c r="J17" i="78"/>
  <c r="I17" i="78"/>
  <c r="H17" i="78"/>
  <c r="G17" i="78"/>
  <c r="F17" i="78"/>
  <c r="E17" i="78"/>
  <c r="H13" i="78"/>
  <c r="G13" i="78"/>
  <c r="F13" i="78"/>
  <c r="E13" i="78"/>
  <c r="I55" i="71"/>
  <c r="H55" i="71"/>
  <c r="G55" i="71"/>
  <c r="F55" i="71"/>
  <c r="E55" i="71"/>
  <c r="D55" i="71"/>
  <c r="C55" i="71"/>
  <c r="B55" i="71"/>
  <c r="F46" i="71"/>
  <c r="E46" i="71"/>
  <c r="D46" i="71"/>
  <c r="C46" i="71"/>
  <c r="B46" i="71"/>
  <c r="I37" i="71"/>
  <c r="H37" i="71"/>
  <c r="G37" i="71"/>
  <c r="F37" i="71"/>
  <c r="E37" i="71"/>
  <c r="D37" i="71"/>
  <c r="C37" i="71"/>
  <c r="B37" i="71"/>
  <c r="I29" i="71"/>
  <c r="H29" i="71"/>
  <c r="G29" i="71"/>
  <c r="F29" i="71"/>
  <c r="E29" i="71"/>
  <c r="D29" i="71"/>
  <c r="C29" i="71"/>
  <c r="B29" i="71"/>
  <c r="I17" i="71"/>
  <c r="H17" i="71"/>
  <c r="G17" i="71"/>
  <c r="F17" i="71"/>
  <c r="E17" i="71"/>
  <c r="D17" i="71"/>
  <c r="C17" i="71"/>
  <c r="B17" i="71"/>
  <c r="E13" i="71"/>
  <c r="D13" i="71"/>
  <c r="C13" i="71"/>
  <c r="B13" i="71"/>
  <c r="J55" i="70"/>
  <c r="I55" i="70"/>
  <c r="H55" i="70"/>
  <c r="G55" i="70"/>
  <c r="F55" i="70"/>
  <c r="E55" i="70"/>
  <c r="D55" i="70"/>
  <c r="C55" i="70"/>
  <c r="H37" i="70"/>
  <c r="G37" i="70"/>
  <c r="D37" i="70"/>
  <c r="C37" i="70"/>
  <c r="H22" i="70"/>
  <c r="H29" i="70" s="1"/>
  <c r="G22" i="70"/>
  <c r="D22" i="70"/>
  <c r="C22" i="70"/>
  <c r="H17" i="70"/>
  <c r="G17" i="70"/>
  <c r="D17" i="70"/>
  <c r="C17" i="70"/>
  <c r="D13" i="70"/>
  <c r="C13" i="70"/>
  <c r="N55" i="64"/>
  <c r="M55" i="64"/>
  <c r="L55" i="64"/>
  <c r="J46" i="64"/>
  <c r="I46" i="64"/>
  <c r="H46" i="64"/>
  <c r="G46" i="64"/>
  <c r="N37" i="64"/>
  <c r="M37" i="64"/>
  <c r="L37" i="64"/>
  <c r="K37" i="64"/>
  <c r="J37" i="64"/>
  <c r="I37" i="64"/>
  <c r="H37" i="64"/>
  <c r="G37" i="64"/>
  <c r="J29" i="64"/>
  <c r="I29" i="64"/>
  <c r="N29" i="64"/>
  <c r="M29" i="64"/>
  <c r="L29" i="64"/>
  <c r="H29" i="64"/>
  <c r="G29" i="64"/>
  <c r="N17" i="64"/>
  <c r="M17" i="64"/>
  <c r="L17" i="64"/>
  <c r="K17" i="64"/>
  <c r="J17" i="64"/>
  <c r="I17" i="64"/>
  <c r="H17" i="64"/>
  <c r="G17" i="64"/>
  <c r="J13" i="64"/>
  <c r="I13" i="64"/>
  <c r="H13" i="64"/>
  <c r="G13" i="64"/>
  <c r="O66" i="1"/>
  <c r="E48" i="64" l="1"/>
  <c r="E53" i="64" s="1"/>
  <c r="D48" i="64"/>
  <c r="D53" i="64" s="1"/>
  <c r="B24" i="70"/>
  <c r="B27" i="70" s="1"/>
  <c r="B47" i="70" s="1"/>
  <c r="B50" i="70" s="1"/>
  <c r="F48" i="64"/>
  <c r="F53" i="64" s="1"/>
  <c r="E29" i="78"/>
  <c r="C24" i="78"/>
  <c r="C27" i="78" s="1"/>
  <c r="C47" i="78" s="1"/>
  <c r="B24" i="78"/>
  <c r="B27" i="78" s="1"/>
  <c r="B47" i="78" s="1"/>
  <c r="D24" i="78"/>
  <c r="D27" i="78" s="1"/>
  <c r="D47" i="78" s="1"/>
  <c r="B48" i="78"/>
  <c r="B53" i="78" s="1"/>
  <c r="D48" i="78"/>
  <c r="D53" i="78" s="1"/>
  <c r="C48" i="78"/>
  <c r="C53" i="78" s="1"/>
  <c r="B52" i="70"/>
  <c r="C29" i="70"/>
  <c r="C24" i="70"/>
  <c r="C27" i="70" s="1"/>
  <c r="C47" i="70" s="1"/>
  <c r="D29" i="70"/>
  <c r="D24" i="70"/>
  <c r="D27" i="70" s="1"/>
  <c r="D47" i="70" s="1"/>
  <c r="D50" i="70" s="1"/>
  <c r="F24" i="70"/>
  <c r="F27" i="70" s="1"/>
  <c r="F47" i="70" s="1"/>
  <c r="G24" i="70"/>
  <c r="G27" i="70" s="1"/>
  <c r="G47" i="70" s="1"/>
  <c r="G29" i="70"/>
  <c r="E24" i="70"/>
  <c r="E27" i="70" s="1"/>
  <c r="E47" i="70" s="1"/>
  <c r="F48" i="78"/>
  <c r="F53" i="78" s="1"/>
  <c r="B48" i="71"/>
  <c r="B53" i="71" s="1"/>
  <c r="D48" i="70"/>
  <c r="C48" i="70" s="1"/>
  <c r="B48" i="70" s="1"/>
  <c r="B53" i="70" s="1"/>
  <c r="E48" i="78"/>
  <c r="E53" i="78" s="1"/>
  <c r="C48" i="71"/>
  <c r="C53" i="71" s="1"/>
  <c r="F24" i="71"/>
  <c r="F27" i="71" s="1"/>
  <c r="F47" i="71" s="1"/>
  <c r="F50" i="71" s="1"/>
  <c r="F48" i="71"/>
  <c r="F53" i="71" s="1"/>
  <c r="I48" i="64"/>
  <c r="I53" i="64" s="1"/>
  <c r="H48" i="64"/>
  <c r="H53" i="64" s="1"/>
  <c r="G48" i="64"/>
  <c r="G53" i="64" s="1"/>
  <c r="I24" i="64"/>
  <c r="I27" i="64" s="1"/>
  <c r="I47" i="64" s="1"/>
  <c r="K29" i="64"/>
  <c r="J24" i="64"/>
  <c r="J27" i="64" s="1"/>
  <c r="J47" i="64" s="1"/>
  <c r="I24" i="78"/>
  <c r="I27" i="78" s="1"/>
  <c r="I47" i="78" s="1"/>
  <c r="I50" i="78" s="1"/>
  <c r="G48" i="78"/>
  <c r="G53" i="78" s="1"/>
  <c r="H48" i="78"/>
  <c r="H53" i="78" s="1"/>
  <c r="E24" i="78"/>
  <c r="E27" i="78" s="1"/>
  <c r="E47" i="78" s="1"/>
  <c r="I48" i="78"/>
  <c r="I53" i="78" s="1"/>
  <c r="F24" i="78"/>
  <c r="F27" i="78" s="1"/>
  <c r="F47" i="78" s="1"/>
  <c r="H24" i="78"/>
  <c r="H27" i="78" s="1"/>
  <c r="H47" i="78" s="1"/>
  <c r="G24" i="78"/>
  <c r="G27" i="78" s="1"/>
  <c r="G47" i="78" s="1"/>
  <c r="B24" i="71"/>
  <c r="B27" i="71" s="1"/>
  <c r="B47" i="71" s="1"/>
  <c r="C24" i="71"/>
  <c r="C27" i="71" s="1"/>
  <c r="C47" i="71" s="1"/>
  <c r="D48" i="71"/>
  <c r="D53" i="71" s="1"/>
  <c r="E48" i="71"/>
  <c r="E53" i="71" s="1"/>
  <c r="D24" i="71"/>
  <c r="D27" i="71" s="1"/>
  <c r="D47" i="71" s="1"/>
  <c r="E24" i="71"/>
  <c r="E27" i="71" s="1"/>
  <c r="E47" i="71" s="1"/>
  <c r="E53" i="70"/>
  <c r="J48" i="64"/>
  <c r="J53" i="64" s="1"/>
  <c r="G24" i="64"/>
  <c r="G27" i="64" s="1"/>
  <c r="G47" i="64" s="1"/>
  <c r="G55" i="64" s="1"/>
  <c r="H24" i="64"/>
  <c r="H27" i="64" s="1"/>
  <c r="H47" i="64" s="1"/>
  <c r="H55" i="64" s="1"/>
  <c r="J55" i="55"/>
  <c r="I55" i="55"/>
  <c r="H55" i="55"/>
  <c r="G55" i="55"/>
  <c r="F55" i="55"/>
  <c r="E55" i="55"/>
  <c r="D55" i="55"/>
  <c r="C55" i="55"/>
  <c r="G46" i="55"/>
  <c r="F46" i="55"/>
  <c r="E46" i="55"/>
  <c r="D46" i="55"/>
  <c r="C46" i="55"/>
  <c r="J37" i="55"/>
  <c r="I37" i="55"/>
  <c r="H37" i="55"/>
  <c r="G37" i="55"/>
  <c r="F37" i="55"/>
  <c r="E37" i="55"/>
  <c r="D37" i="55"/>
  <c r="C37" i="55"/>
  <c r="J22" i="55"/>
  <c r="J29" i="55" s="1"/>
  <c r="I22" i="55"/>
  <c r="I29" i="55" s="1"/>
  <c r="H22" i="55"/>
  <c r="H29" i="55" s="1"/>
  <c r="G22" i="55"/>
  <c r="F22" i="55"/>
  <c r="F29" i="55" s="1"/>
  <c r="E22" i="55"/>
  <c r="E29" i="55" s="1"/>
  <c r="D22" i="55"/>
  <c r="C22" i="55"/>
  <c r="J17" i="55"/>
  <c r="I17" i="55"/>
  <c r="H17" i="55"/>
  <c r="G17" i="55"/>
  <c r="F17" i="55"/>
  <c r="E17" i="55"/>
  <c r="D17" i="55"/>
  <c r="C17" i="55"/>
  <c r="F13" i="55"/>
  <c r="E13" i="55"/>
  <c r="D13" i="55"/>
  <c r="C13" i="55"/>
  <c r="J55" i="53"/>
  <c r="I55" i="53"/>
  <c r="H55" i="53"/>
  <c r="G55" i="53"/>
  <c r="F55" i="53"/>
  <c r="G46" i="53"/>
  <c r="F46" i="53"/>
  <c r="E46" i="53"/>
  <c r="D46" i="53"/>
  <c r="C46" i="53"/>
  <c r="I37" i="53"/>
  <c r="H37" i="53"/>
  <c r="G37" i="53"/>
  <c r="F37" i="53"/>
  <c r="E37" i="53"/>
  <c r="D37" i="53"/>
  <c r="C37" i="53"/>
  <c r="B48" i="53" s="1"/>
  <c r="B53" i="53" s="1"/>
  <c r="G29" i="53"/>
  <c r="F29" i="53"/>
  <c r="I29" i="53"/>
  <c r="H29" i="53"/>
  <c r="G24" i="53"/>
  <c r="G27" i="53" s="1"/>
  <c r="G47" i="53" s="1"/>
  <c r="E29" i="53"/>
  <c r="D24" i="53"/>
  <c r="D27" i="53" s="1"/>
  <c r="D47" i="53" s="1"/>
  <c r="D55" i="53" s="1"/>
  <c r="C29" i="53"/>
  <c r="I17" i="53"/>
  <c r="H17" i="53"/>
  <c r="G17" i="53"/>
  <c r="F17" i="53"/>
  <c r="E17" i="53"/>
  <c r="D17" i="53"/>
  <c r="C17" i="53"/>
  <c r="F13" i="53"/>
  <c r="E13" i="53"/>
  <c r="D13" i="53"/>
  <c r="C13" i="53"/>
  <c r="I55" i="50"/>
  <c r="H55" i="50"/>
  <c r="G55" i="50"/>
  <c r="F46" i="50"/>
  <c r="E46" i="50"/>
  <c r="D46" i="50"/>
  <c r="C46" i="50"/>
  <c r="B46" i="50"/>
  <c r="I37" i="50"/>
  <c r="H37" i="50"/>
  <c r="G37" i="50"/>
  <c r="F37" i="50"/>
  <c r="E37" i="50"/>
  <c r="D37" i="50"/>
  <c r="C37" i="50"/>
  <c r="B37" i="50"/>
  <c r="I29" i="50"/>
  <c r="I34" i="50" s="1"/>
  <c r="H29" i="50"/>
  <c r="H34" i="50" s="1"/>
  <c r="G29" i="50"/>
  <c r="G34" i="50" s="1"/>
  <c r="F29" i="50"/>
  <c r="F34" i="50" s="1"/>
  <c r="E29" i="50"/>
  <c r="E34" i="50" s="1"/>
  <c r="D29" i="50"/>
  <c r="D34" i="50" s="1"/>
  <c r="C24" i="50"/>
  <c r="C27" i="50" s="1"/>
  <c r="C47" i="50" s="1"/>
  <c r="C55" i="50" s="1"/>
  <c r="B29" i="50"/>
  <c r="B34" i="50" s="1"/>
  <c r="I17" i="50"/>
  <c r="H17" i="50"/>
  <c r="G17" i="50"/>
  <c r="F17" i="50"/>
  <c r="E17" i="50"/>
  <c r="D17" i="50"/>
  <c r="C17" i="50"/>
  <c r="B17" i="50"/>
  <c r="E13" i="50"/>
  <c r="D13" i="50"/>
  <c r="C13" i="50"/>
  <c r="B13" i="50"/>
  <c r="L55" i="49"/>
  <c r="K55" i="49"/>
  <c r="J55" i="49"/>
  <c r="I55" i="49"/>
  <c r="H55" i="49"/>
  <c r="G55" i="49"/>
  <c r="K37" i="49"/>
  <c r="G37" i="49"/>
  <c r="C48" i="49" s="1"/>
  <c r="K24" i="49"/>
  <c r="K27" i="49" s="1"/>
  <c r="G29" i="49"/>
  <c r="K17" i="49"/>
  <c r="G17" i="49"/>
  <c r="G13" i="49"/>
  <c r="K55" i="43"/>
  <c r="J55" i="43"/>
  <c r="I55" i="43"/>
  <c r="H46" i="43"/>
  <c r="G46" i="43"/>
  <c r="F46" i="43"/>
  <c r="E46" i="43"/>
  <c r="D46" i="43"/>
  <c r="K37" i="43"/>
  <c r="J37" i="43"/>
  <c r="I37" i="43"/>
  <c r="H37" i="43"/>
  <c r="G37" i="43"/>
  <c r="F37" i="43"/>
  <c r="E37" i="43"/>
  <c r="D37" i="43"/>
  <c r="K22" i="43"/>
  <c r="K29" i="43" s="1"/>
  <c r="J22" i="43"/>
  <c r="J29" i="43" s="1"/>
  <c r="I22" i="43"/>
  <c r="I29" i="43" s="1"/>
  <c r="H22" i="43"/>
  <c r="G22" i="43"/>
  <c r="F22" i="43"/>
  <c r="F29" i="43" s="1"/>
  <c r="E22" i="43"/>
  <c r="D22" i="43"/>
  <c r="K17" i="43"/>
  <c r="J17" i="43"/>
  <c r="I17" i="43"/>
  <c r="H17" i="43"/>
  <c r="G17" i="43"/>
  <c r="F17" i="43"/>
  <c r="E17" i="43"/>
  <c r="D17" i="43"/>
  <c r="G13" i="43"/>
  <c r="F13" i="43"/>
  <c r="E13" i="43"/>
  <c r="D13" i="43"/>
  <c r="O96" i="1"/>
  <c r="O106" i="1"/>
  <c r="O40" i="1"/>
  <c r="O38" i="1"/>
  <c r="O77" i="1"/>
  <c r="O72" i="1"/>
  <c r="O27" i="1"/>
  <c r="O82" i="1"/>
  <c r="O33" i="1"/>
  <c r="O44" i="1"/>
  <c r="O119" i="1"/>
  <c r="O118" i="1"/>
  <c r="O11" i="1"/>
  <c r="O113" i="1"/>
  <c r="B51" i="70" l="1"/>
  <c r="I51" i="64"/>
  <c r="I55" i="64"/>
  <c r="J50" i="64"/>
  <c r="J55" i="64"/>
  <c r="B48" i="55"/>
  <c r="B53" i="55" s="1"/>
  <c r="C53" i="70"/>
  <c r="D29" i="43"/>
  <c r="B24" i="43"/>
  <c r="B27" i="43" s="1"/>
  <c r="B47" i="43" s="1"/>
  <c r="C24" i="43"/>
  <c r="C27" i="43" s="1"/>
  <c r="C47" i="43" s="1"/>
  <c r="C48" i="43"/>
  <c r="C53" i="43" s="1"/>
  <c r="B48" i="43"/>
  <c r="B53" i="43" s="1"/>
  <c r="I50" i="64"/>
  <c r="D52" i="78"/>
  <c r="D51" i="78"/>
  <c r="D50" i="78"/>
  <c r="C29" i="55"/>
  <c r="B24" i="55"/>
  <c r="B27" i="55" s="1"/>
  <c r="B47" i="55" s="1"/>
  <c r="I52" i="78"/>
  <c r="B51" i="78"/>
  <c r="B52" i="78"/>
  <c r="B50" i="78"/>
  <c r="I51" i="78"/>
  <c r="C51" i="78"/>
  <c r="C50" i="78"/>
  <c r="C52" i="78"/>
  <c r="C53" i="49"/>
  <c r="B48" i="49"/>
  <c r="B53" i="49" s="1"/>
  <c r="I52" i="64"/>
  <c r="C48" i="53"/>
  <c r="C53" i="53" s="1"/>
  <c r="F52" i="71"/>
  <c r="F51" i="71"/>
  <c r="D53" i="70"/>
  <c r="D51" i="70"/>
  <c r="D52" i="70"/>
  <c r="H24" i="43"/>
  <c r="H27" i="43" s="1"/>
  <c r="H47" i="43" s="1"/>
  <c r="H55" i="43" s="1"/>
  <c r="G24" i="43"/>
  <c r="G27" i="43" s="1"/>
  <c r="G47" i="43" s="1"/>
  <c r="B48" i="50"/>
  <c r="B53" i="50" s="1"/>
  <c r="F48" i="50"/>
  <c r="F53" i="50" s="1"/>
  <c r="D48" i="50"/>
  <c r="D53" i="50" s="1"/>
  <c r="E48" i="43"/>
  <c r="E53" i="43" s="1"/>
  <c r="H48" i="43"/>
  <c r="H53" i="43" s="1"/>
  <c r="C48" i="50"/>
  <c r="C53" i="50" s="1"/>
  <c r="G29" i="43"/>
  <c r="K29" i="49"/>
  <c r="E48" i="50"/>
  <c r="E53" i="50" s="1"/>
  <c r="E24" i="43"/>
  <c r="E27" i="43" s="1"/>
  <c r="E47" i="43" s="1"/>
  <c r="E51" i="43" s="1"/>
  <c r="H29" i="43"/>
  <c r="G53" i="49"/>
  <c r="D48" i="43"/>
  <c r="D53" i="43" s="1"/>
  <c r="F24" i="53"/>
  <c r="F27" i="53" s="1"/>
  <c r="F47" i="53" s="1"/>
  <c r="F52" i="53" s="1"/>
  <c r="G48" i="53"/>
  <c r="D48" i="53"/>
  <c r="D53" i="53" s="1"/>
  <c r="D24" i="55"/>
  <c r="D27" i="55" s="1"/>
  <c r="D47" i="55" s="1"/>
  <c r="D50" i="55" s="1"/>
  <c r="D48" i="55"/>
  <c r="D53" i="55" s="1"/>
  <c r="G48" i="55"/>
  <c r="G53" i="55" s="1"/>
  <c r="C48" i="55"/>
  <c r="C53" i="55" s="1"/>
  <c r="E48" i="55"/>
  <c r="E53" i="55" s="1"/>
  <c r="F48" i="55"/>
  <c r="F53" i="55" s="1"/>
  <c r="G24" i="55"/>
  <c r="G27" i="55" s="1"/>
  <c r="G47" i="55" s="1"/>
  <c r="G52" i="55" s="1"/>
  <c r="J52" i="64"/>
  <c r="J51" i="64"/>
  <c r="F52" i="78"/>
  <c r="F50" i="78"/>
  <c r="F51" i="78"/>
  <c r="G52" i="78"/>
  <c r="G50" i="78"/>
  <c r="G51" i="78"/>
  <c r="E51" i="78"/>
  <c r="E52" i="78"/>
  <c r="E50" i="78"/>
  <c r="H50" i="78"/>
  <c r="H52" i="78"/>
  <c r="H51" i="78"/>
  <c r="E50" i="71"/>
  <c r="E51" i="71"/>
  <c r="E52" i="71"/>
  <c r="B52" i="71"/>
  <c r="B50" i="71"/>
  <c r="B51" i="71"/>
  <c r="C52" i="71"/>
  <c r="C50" i="71"/>
  <c r="C51" i="71"/>
  <c r="D52" i="71"/>
  <c r="D50" i="71"/>
  <c r="D51" i="71"/>
  <c r="E50" i="70"/>
  <c r="E51" i="70"/>
  <c r="E52" i="70"/>
  <c r="C52" i="70"/>
  <c r="C50" i="70"/>
  <c r="C51" i="70"/>
  <c r="G52" i="64"/>
  <c r="G50" i="64"/>
  <c r="G51" i="64"/>
  <c r="H52" i="64"/>
  <c r="H50" i="64"/>
  <c r="H51" i="64"/>
  <c r="C24" i="55"/>
  <c r="C27" i="55" s="1"/>
  <c r="C47" i="55" s="1"/>
  <c r="E24" i="55"/>
  <c r="E27" i="55" s="1"/>
  <c r="E47" i="55" s="1"/>
  <c r="F24" i="55"/>
  <c r="F27" i="55" s="1"/>
  <c r="F47" i="55" s="1"/>
  <c r="D29" i="55"/>
  <c r="G29" i="55"/>
  <c r="C51" i="50"/>
  <c r="C50" i="50"/>
  <c r="C52" i="50"/>
  <c r="D52" i="53"/>
  <c r="D50" i="53"/>
  <c r="D51" i="53"/>
  <c r="B24" i="50"/>
  <c r="B27" i="50" s="1"/>
  <c r="B47" i="50" s="1"/>
  <c r="B55" i="50" s="1"/>
  <c r="E48" i="53"/>
  <c r="E53" i="53" s="1"/>
  <c r="F48" i="53"/>
  <c r="F53" i="53" s="1"/>
  <c r="E24" i="50"/>
  <c r="E27" i="50" s="1"/>
  <c r="E47" i="50" s="1"/>
  <c r="E55" i="50" s="1"/>
  <c r="C29" i="50"/>
  <c r="C34" i="50" s="1"/>
  <c r="C24" i="53"/>
  <c r="C27" i="53" s="1"/>
  <c r="C47" i="53" s="1"/>
  <c r="C55" i="53" s="1"/>
  <c r="D24" i="50"/>
  <c r="D27" i="50" s="1"/>
  <c r="D47" i="50" s="1"/>
  <c r="D55" i="50" s="1"/>
  <c r="F24" i="50"/>
  <c r="F27" i="50" s="1"/>
  <c r="F47" i="50" s="1"/>
  <c r="F55" i="50" s="1"/>
  <c r="D29" i="53"/>
  <c r="E24" i="53"/>
  <c r="E27" i="53" s="1"/>
  <c r="E47" i="53" s="1"/>
  <c r="E55" i="53" s="1"/>
  <c r="G24" i="49"/>
  <c r="G27" i="49" s="1"/>
  <c r="E52" i="43"/>
  <c r="F48" i="43"/>
  <c r="F53" i="43" s="1"/>
  <c r="G48" i="43"/>
  <c r="G53" i="43" s="1"/>
  <c r="D24" i="43"/>
  <c r="D27" i="43" s="1"/>
  <c r="D47" i="43" s="1"/>
  <c r="D55" i="43" s="1"/>
  <c r="F24" i="43"/>
  <c r="F27" i="43" s="1"/>
  <c r="F47" i="43" s="1"/>
  <c r="F55" i="43" s="1"/>
  <c r="E29" i="43"/>
  <c r="O46" i="1"/>
  <c r="O61" i="1"/>
  <c r="H51" i="43" l="1"/>
  <c r="C52" i="43"/>
  <c r="C55" i="43"/>
  <c r="C50" i="43"/>
  <c r="C51" i="43"/>
  <c r="D52" i="55"/>
  <c r="B52" i="55"/>
  <c r="B51" i="55"/>
  <c r="B50" i="55"/>
  <c r="B55" i="43"/>
  <c r="B51" i="43"/>
  <c r="B50" i="43"/>
  <c r="B52" i="43"/>
  <c r="H52" i="43"/>
  <c r="D51" i="55"/>
  <c r="H50" i="43"/>
  <c r="G50" i="43"/>
  <c r="G55" i="43"/>
  <c r="E50" i="43"/>
  <c r="E55" i="43"/>
  <c r="G52" i="43"/>
  <c r="G51" i="43"/>
  <c r="F51" i="53"/>
  <c r="F50" i="53"/>
  <c r="G51" i="55"/>
  <c r="G50" i="55"/>
  <c r="F50" i="55"/>
  <c r="F52" i="55"/>
  <c r="F51" i="55"/>
  <c r="C50" i="55"/>
  <c r="C51" i="55"/>
  <c r="C52" i="55"/>
  <c r="E52" i="55"/>
  <c r="E51" i="55"/>
  <c r="E50" i="55"/>
  <c r="E52" i="50"/>
  <c r="E50" i="50"/>
  <c r="E51" i="50"/>
  <c r="F52" i="50"/>
  <c r="F50" i="50"/>
  <c r="F51" i="50"/>
  <c r="E50" i="53"/>
  <c r="E52" i="53"/>
  <c r="E51" i="53"/>
  <c r="D52" i="50"/>
  <c r="D51" i="50"/>
  <c r="D50" i="50"/>
  <c r="C52" i="53"/>
  <c r="C50" i="53"/>
  <c r="C51" i="53"/>
  <c r="B51" i="50"/>
  <c r="B50" i="50"/>
  <c r="B52" i="50"/>
  <c r="G51" i="49"/>
  <c r="G52" i="49"/>
  <c r="G50" i="49"/>
  <c r="F50" i="43"/>
  <c r="F51" i="43"/>
  <c r="F52" i="43"/>
  <c r="D50" i="43"/>
  <c r="D52" i="43"/>
  <c r="D51" i="43"/>
  <c r="O12" i="1"/>
  <c r="O68" i="1"/>
  <c r="O39" i="1"/>
  <c r="O80" i="1"/>
  <c r="K55" i="33" l="1"/>
  <c r="J55" i="33"/>
  <c r="I55" i="33"/>
  <c r="H55" i="33"/>
  <c r="G55" i="33"/>
  <c r="F55" i="33"/>
  <c r="E55" i="33"/>
  <c r="D55" i="33"/>
  <c r="H46" i="33"/>
  <c r="G46" i="33"/>
  <c r="F46" i="33"/>
  <c r="E46" i="33"/>
  <c r="D46" i="33"/>
  <c r="K37" i="33"/>
  <c r="J37" i="33"/>
  <c r="I37" i="33"/>
  <c r="H37" i="33"/>
  <c r="G37" i="33"/>
  <c r="F37" i="33"/>
  <c r="E37" i="33"/>
  <c r="D37" i="33"/>
  <c r="K22" i="33"/>
  <c r="K29" i="33" s="1"/>
  <c r="K34" i="33" s="1"/>
  <c r="J22" i="33"/>
  <c r="J29" i="33" s="1"/>
  <c r="J34" i="33" s="1"/>
  <c r="I22" i="33"/>
  <c r="I29" i="33" s="1"/>
  <c r="I34" i="33" s="1"/>
  <c r="H22" i="33"/>
  <c r="H29" i="33" s="1"/>
  <c r="H34" i="33" s="1"/>
  <c r="G22" i="33"/>
  <c r="G29" i="33" s="1"/>
  <c r="G34" i="33" s="1"/>
  <c r="F22" i="33"/>
  <c r="F29" i="33" s="1"/>
  <c r="F34" i="33" s="1"/>
  <c r="E22" i="33"/>
  <c r="D22" i="33"/>
  <c r="K17" i="33"/>
  <c r="J17" i="33"/>
  <c r="I17" i="33"/>
  <c r="H17" i="33"/>
  <c r="G17" i="33"/>
  <c r="F17" i="33"/>
  <c r="E17" i="33"/>
  <c r="D17" i="33"/>
  <c r="G13" i="33"/>
  <c r="F13" i="33"/>
  <c r="E13" i="33"/>
  <c r="D13" i="33"/>
  <c r="K55" i="32"/>
  <c r="J55" i="32"/>
  <c r="I55" i="32"/>
  <c r="H55" i="32"/>
  <c r="G55" i="32"/>
  <c r="F55" i="32"/>
  <c r="E55" i="32"/>
  <c r="D55" i="32"/>
  <c r="H46" i="32"/>
  <c r="G46" i="32"/>
  <c r="F46" i="32"/>
  <c r="E46" i="32"/>
  <c r="D46" i="32"/>
  <c r="K37" i="32"/>
  <c r="J37" i="32"/>
  <c r="I37" i="32"/>
  <c r="H37" i="32"/>
  <c r="G37" i="32"/>
  <c r="F37" i="32"/>
  <c r="E37" i="32"/>
  <c r="D37" i="32"/>
  <c r="I29" i="32"/>
  <c r="K29" i="32"/>
  <c r="J29" i="32"/>
  <c r="H29" i="32"/>
  <c r="F29" i="32"/>
  <c r="E29" i="32"/>
  <c r="D29" i="32"/>
  <c r="K17" i="32"/>
  <c r="J17" i="32"/>
  <c r="I17" i="32"/>
  <c r="H17" i="32"/>
  <c r="G17" i="32"/>
  <c r="F17" i="32"/>
  <c r="E17" i="32"/>
  <c r="D17" i="32"/>
  <c r="G13" i="32"/>
  <c r="F13" i="32"/>
  <c r="E13" i="32"/>
  <c r="D13" i="32"/>
  <c r="K55" i="31"/>
  <c r="J55" i="31"/>
  <c r="I55" i="31"/>
  <c r="H55" i="31"/>
  <c r="G55" i="31"/>
  <c r="F55" i="31"/>
  <c r="E55" i="31"/>
  <c r="D55" i="31"/>
  <c r="H46" i="31"/>
  <c r="G46" i="31"/>
  <c r="F46" i="31"/>
  <c r="E46" i="31"/>
  <c r="D46" i="31"/>
  <c r="K37" i="31"/>
  <c r="J37" i="31"/>
  <c r="I37" i="31"/>
  <c r="H37" i="31"/>
  <c r="G37" i="31"/>
  <c r="F37" i="31"/>
  <c r="E37" i="31"/>
  <c r="D37" i="31"/>
  <c r="K22" i="31"/>
  <c r="K29" i="31" s="1"/>
  <c r="J22" i="31"/>
  <c r="J29" i="31" s="1"/>
  <c r="I22" i="31"/>
  <c r="I29" i="31" s="1"/>
  <c r="H22" i="31"/>
  <c r="H29" i="31" s="1"/>
  <c r="G22" i="31"/>
  <c r="F22" i="31"/>
  <c r="F29" i="31" s="1"/>
  <c r="E22" i="31"/>
  <c r="E29" i="31" s="1"/>
  <c r="D22" i="31"/>
  <c r="K17" i="31"/>
  <c r="J17" i="31"/>
  <c r="I17" i="31"/>
  <c r="H17" i="31"/>
  <c r="G17" i="31"/>
  <c r="F17" i="31"/>
  <c r="E17" i="31"/>
  <c r="D17" i="31"/>
  <c r="G13" i="31"/>
  <c r="F13" i="31"/>
  <c r="E13" i="31"/>
  <c r="D13" i="31"/>
  <c r="M55" i="22"/>
  <c r="L55" i="22"/>
  <c r="K55" i="22"/>
  <c r="J46" i="22"/>
  <c r="I46" i="22"/>
  <c r="H46" i="22"/>
  <c r="G46" i="22"/>
  <c r="F46" i="22"/>
  <c r="M37" i="22"/>
  <c r="L37" i="22"/>
  <c r="K37" i="22"/>
  <c r="J37" i="22"/>
  <c r="I37" i="22"/>
  <c r="H37" i="22"/>
  <c r="G37" i="22"/>
  <c r="F37" i="22"/>
  <c r="M29" i="22"/>
  <c r="M34" i="22" s="1"/>
  <c r="L29" i="22"/>
  <c r="L34" i="22" s="1"/>
  <c r="K29" i="22"/>
  <c r="K34" i="22" s="1"/>
  <c r="I29" i="22"/>
  <c r="I34" i="22" s="1"/>
  <c r="H29" i="22"/>
  <c r="H34" i="22" s="1"/>
  <c r="G29" i="22"/>
  <c r="G34" i="22" s="1"/>
  <c r="M17" i="22"/>
  <c r="L17" i="22"/>
  <c r="K17" i="22"/>
  <c r="J17" i="22"/>
  <c r="I17" i="22"/>
  <c r="H17" i="22"/>
  <c r="G17" i="22"/>
  <c r="F17" i="22"/>
  <c r="I13" i="22"/>
  <c r="H13" i="22"/>
  <c r="G13" i="22"/>
  <c r="F13" i="22"/>
  <c r="J55" i="17"/>
  <c r="I55" i="17"/>
  <c r="H55" i="17"/>
  <c r="G55" i="17"/>
  <c r="F55" i="17"/>
  <c r="E55" i="17"/>
  <c r="D55" i="17"/>
  <c r="C55" i="17"/>
  <c r="G46" i="17"/>
  <c r="F46" i="17"/>
  <c r="E46" i="17"/>
  <c r="D46" i="17"/>
  <c r="C46" i="17"/>
  <c r="J37" i="17"/>
  <c r="I37" i="17"/>
  <c r="H37" i="17"/>
  <c r="G37" i="17"/>
  <c r="F37" i="17"/>
  <c r="E37" i="17"/>
  <c r="D37" i="17"/>
  <c r="C37" i="17"/>
  <c r="J22" i="17"/>
  <c r="J29" i="17" s="1"/>
  <c r="I22" i="17"/>
  <c r="I29" i="17" s="1"/>
  <c r="H22" i="17"/>
  <c r="H29" i="17" s="1"/>
  <c r="G22" i="17"/>
  <c r="F22" i="17"/>
  <c r="F29" i="17" s="1"/>
  <c r="E22" i="17"/>
  <c r="E29" i="17" s="1"/>
  <c r="D22" i="17"/>
  <c r="C22" i="17"/>
  <c r="J17" i="17"/>
  <c r="I17" i="17"/>
  <c r="H17" i="17"/>
  <c r="G17" i="17"/>
  <c r="F17" i="17"/>
  <c r="E17" i="17"/>
  <c r="D17" i="17"/>
  <c r="C17" i="17"/>
  <c r="F13" i="17"/>
  <c r="E13" i="17"/>
  <c r="D13" i="17"/>
  <c r="C13" i="17"/>
  <c r="N55" i="14"/>
  <c r="M55" i="14"/>
  <c r="L55" i="14"/>
  <c r="K55" i="14"/>
  <c r="J55" i="14"/>
  <c r="I55" i="14"/>
  <c r="H55" i="14"/>
  <c r="G55" i="14"/>
  <c r="G50" i="14"/>
  <c r="J55" i="6"/>
  <c r="I55" i="6"/>
  <c r="H55" i="6"/>
  <c r="G46" i="6"/>
  <c r="F46" i="6"/>
  <c r="E46" i="6"/>
  <c r="D46" i="6"/>
  <c r="C46" i="6"/>
  <c r="J37" i="6"/>
  <c r="I37" i="6"/>
  <c r="H37" i="6"/>
  <c r="G37" i="6"/>
  <c r="F37" i="6"/>
  <c r="E37" i="6"/>
  <c r="D37" i="6"/>
  <c r="C37" i="6"/>
  <c r="J22" i="6"/>
  <c r="J29" i="6" s="1"/>
  <c r="I22" i="6"/>
  <c r="I29" i="6" s="1"/>
  <c r="H22" i="6"/>
  <c r="H29" i="6" s="1"/>
  <c r="G22" i="6"/>
  <c r="G29" i="6" s="1"/>
  <c r="F22" i="6"/>
  <c r="F29" i="6" s="1"/>
  <c r="E22" i="6"/>
  <c r="D22" i="6"/>
  <c r="D29" i="6" s="1"/>
  <c r="C22" i="6"/>
  <c r="J17" i="6"/>
  <c r="I17" i="6"/>
  <c r="H17" i="6"/>
  <c r="G17" i="6"/>
  <c r="F17" i="6"/>
  <c r="E17" i="6"/>
  <c r="D17" i="6"/>
  <c r="C17" i="6"/>
  <c r="F13" i="6"/>
  <c r="E13" i="6"/>
  <c r="D13" i="6"/>
  <c r="C13" i="6"/>
  <c r="J55" i="5"/>
  <c r="I55" i="5"/>
  <c r="H55" i="5"/>
  <c r="G55" i="5"/>
  <c r="F55" i="5"/>
  <c r="E55" i="5"/>
  <c r="D55" i="5"/>
  <c r="C55" i="5"/>
  <c r="G46" i="5"/>
  <c r="F46" i="5"/>
  <c r="E46" i="5"/>
  <c r="D46" i="5"/>
  <c r="C46" i="5"/>
  <c r="J37" i="5"/>
  <c r="I37" i="5"/>
  <c r="H37" i="5"/>
  <c r="G37" i="5"/>
  <c r="F37" i="5"/>
  <c r="E37" i="5"/>
  <c r="D37" i="5"/>
  <c r="C37" i="5"/>
  <c r="G29" i="5"/>
  <c r="G34" i="5" s="1"/>
  <c r="J29" i="5"/>
  <c r="I29" i="5"/>
  <c r="I34" i="5" s="1"/>
  <c r="H29" i="5"/>
  <c r="H34" i="5" s="1"/>
  <c r="F29" i="5"/>
  <c r="F34" i="5" s="1"/>
  <c r="E29" i="5"/>
  <c r="E34" i="5" s="1"/>
  <c r="D29" i="5"/>
  <c r="D34" i="5" s="1"/>
  <c r="C29" i="5"/>
  <c r="C34" i="5" s="1"/>
  <c r="J17" i="5"/>
  <c r="I17" i="5"/>
  <c r="H17" i="5"/>
  <c r="G17" i="5"/>
  <c r="F17" i="5"/>
  <c r="E17" i="5"/>
  <c r="D17" i="5"/>
  <c r="C17" i="5"/>
  <c r="F13" i="5"/>
  <c r="E13" i="5"/>
  <c r="D13" i="5"/>
  <c r="C13" i="5"/>
  <c r="M55" i="4"/>
  <c r="L55" i="4"/>
  <c r="K55" i="4"/>
  <c r="J55" i="4"/>
  <c r="I55" i="4"/>
  <c r="H55" i="4"/>
  <c r="G55" i="4"/>
  <c r="F55" i="4"/>
  <c r="G46" i="4"/>
  <c r="J37" i="4"/>
  <c r="I37" i="4"/>
  <c r="H37" i="4"/>
  <c r="G37" i="4"/>
  <c r="F37" i="4"/>
  <c r="J22" i="4"/>
  <c r="J29" i="4" s="1"/>
  <c r="J34" i="4" s="1"/>
  <c r="H22" i="4"/>
  <c r="H29" i="4" s="1"/>
  <c r="H34" i="4" s="1"/>
  <c r="G22" i="4"/>
  <c r="G29" i="4" s="1"/>
  <c r="G34" i="4" s="1"/>
  <c r="C24" i="4"/>
  <c r="J17" i="4"/>
  <c r="I17" i="4"/>
  <c r="H17" i="4"/>
  <c r="G17" i="4"/>
  <c r="F17" i="4"/>
  <c r="F13" i="4"/>
  <c r="O19" i="1"/>
  <c r="O17" i="1"/>
  <c r="O84" i="1"/>
  <c r="O90" i="1"/>
  <c r="O108" i="1"/>
  <c r="D29" i="31" l="1"/>
  <c r="C24" i="31"/>
  <c r="C27" i="31" s="1"/>
  <c r="C47" i="31" s="1"/>
  <c r="B24" i="31"/>
  <c r="B27" i="31" s="1"/>
  <c r="B47" i="31" s="1"/>
  <c r="F48" i="4"/>
  <c r="F53" i="4" s="1"/>
  <c r="D48" i="4"/>
  <c r="D53" i="4" s="1"/>
  <c r="C48" i="4"/>
  <c r="C53" i="4" s="1"/>
  <c r="E48" i="4"/>
  <c r="E53" i="4" s="1"/>
  <c r="B48" i="31"/>
  <c r="B53" i="31" s="1"/>
  <c r="C48" i="31"/>
  <c r="C53" i="31" s="1"/>
  <c r="D29" i="33"/>
  <c r="D34" i="33" s="1"/>
  <c r="C24" i="33"/>
  <c r="C27" i="33" s="1"/>
  <c r="C47" i="33" s="1"/>
  <c r="B24" i="33"/>
  <c r="B48" i="33"/>
  <c r="B53" i="33" s="1"/>
  <c r="C48" i="33"/>
  <c r="C53" i="33" s="1"/>
  <c r="B48" i="5"/>
  <c r="B53" i="5" s="1"/>
  <c r="E48" i="22"/>
  <c r="E53" i="22" s="1"/>
  <c r="C48" i="22"/>
  <c r="C53" i="22" s="1"/>
  <c r="D48" i="22"/>
  <c r="D53" i="22" s="1"/>
  <c r="C29" i="6"/>
  <c r="B24" i="6"/>
  <c r="B27" i="6" s="1"/>
  <c r="B47" i="6" s="1"/>
  <c r="B48" i="6"/>
  <c r="B53" i="6" s="1"/>
  <c r="B24" i="17"/>
  <c r="B48" i="17"/>
  <c r="B53" i="17" s="1"/>
  <c r="C48" i="32"/>
  <c r="C53" i="32" s="1"/>
  <c r="B48" i="32"/>
  <c r="B53" i="32" s="1"/>
  <c r="C25" i="4"/>
  <c r="C27" i="4" s="1"/>
  <c r="C47" i="4" s="1"/>
  <c r="I21" i="4"/>
  <c r="I22" i="4" s="1"/>
  <c r="I29" i="4" s="1"/>
  <c r="I34" i="4" s="1"/>
  <c r="E24" i="4"/>
  <c r="E27" i="4" s="1"/>
  <c r="E47" i="4" s="1"/>
  <c r="D24" i="4"/>
  <c r="D27" i="4" s="1"/>
  <c r="D47" i="4" s="1"/>
  <c r="G48" i="32"/>
  <c r="G53" i="32" s="1"/>
  <c r="D48" i="32"/>
  <c r="D53" i="32" s="1"/>
  <c r="F24" i="32"/>
  <c r="F27" i="32" s="1"/>
  <c r="F47" i="32" s="1"/>
  <c r="F51" i="32" s="1"/>
  <c r="G48" i="5"/>
  <c r="F48" i="33"/>
  <c r="F53" i="33" s="1"/>
  <c r="F24" i="33"/>
  <c r="F27" i="33" s="1"/>
  <c r="F47" i="33" s="1"/>
  <c r="F50" i="33" s="1"/>
  <c r="D48" i="6"/>
  <c r="D53" i="6" s="1"/>
  <c r="F24" i="6"/>
  <c r="F27" i="6" s="1"/>
  <c r="F47" i="6" s="1"/>
  <c r="E24" i="6"/>
  <c r="E27" i="6" s="1"/>
  <c r="E47" i="6" s="1"/>
  <c r="E50" i="6" s="1"/>
  <c r="G24" i="17"/>
  <c r="G27" i="17" s="1"/>
  <c r="G47" i="17" s="1"/>
  <c r="G52" i="17" s="1"/>
  <c r="C24" i="17"/>
  <c r="C48" i="17"/>
  <c r="C53" i="17" s="1"/>
  <c r="D24" i="17"/>
  <c r="G29" i="17"/>
  <c r="F48" i="31"/>
  <c r="F53" i="31" s="1"/>
  <c r="H48" i="31"/>
  <c r="H53" i="31" s="1"/>
  <c r="G48" i="31"/>
  <c r="G53" i="31" s="1"/>
  <c r="G24" i="6"/>
  <c r="G27" i="6" s="1"/>
  <c r="G47" i="6" s="1"/>
  <c r="D48" i="17"/>
  <c r="D53" i="17" s="1"/>
  <c r="E24" i="31"/>
  <c r="E27" i="31" s="1"/>
  <c r="E47" i="31" s="1"/>
  <c r="E51" i="31" s="1"/>
  <c r="F48" i="6"/>
  <c r="F53" i="6" s="1"/>
  <c r="G53" i="14"/>
  <c r="E48" i="32"/>
  <c r="E53" i="32" s="1"/>
  <c r="D48" i="33"/>
  <c r="D53" i="33" s="1"/>
  <c r="H48" i="32"/>
  <c r="H53" i="32" s="1"/>
  <c r="G48" i="33"/>
  <c r="G53" i="33" s="1"/>
  <c r="C48" i="6"/>
  <c r="C53" i="6" s="1"/>
  <c r="F24" i="5"/>
  <c r="F27" i="5" s="1"/>
  <c r="F47" i="5" s="1"/>
  <c r="F51" i="5" s="1"/>
  <c r="C48" i="5"/>
  <c r="C53" i="5" s="1"/>
  <c r="G48" i="6"/>
  <c r="G53" i="6" s="1"/>
  <c r="F24" i="22"/>
  <c r="G24" i="22"/>
  <c r="F48" i="32"/>
  <c r="F53" i="32" s="1"/>
  <c r="E48" i="33"/>
  <c r="E53" i="33" s="1"/>
  <c r="D48" i="5"/>
  <c r="D53" i="5" s="1"/>
  <c r="G24" i="5"/>
  <c r="G27" i="5" s="1"/>
  <c r="G47" i="5" s="1"/>
  <c r="E29" i="6"/>
  <c r="F29" i="22"/>
  <c r="F34" i="22" s="1"/>
  <c r="J48" i="22"/>
  <c r="J53" i="22" s="1"/>
  <c r="F52" i="32"/>
  <c r="G29" i="31"/>
  <c r="G24" i="31"/>
  <c r="G27" i="31" s="1"/>
  <c r="G47" i="31" s="1"/>
  <c r="E29" i="33"/>
  <c r="E34" i="33" s="1"/>
  <c r="E24" i="33"/>
  <c r="E27" i="33" s="1"/>
  <c r="E47" i="33" s="1"/>
  <c r="I48" i="22"/>
  <c r="I53" i="22" s="1"/>
  <c r="G48" i="22"/>
  <c r="G53" i="22" s="1"/>
  <c r="D24" i="32"/>
  <c r="D27" i="32" s="1"/>
  <c r="D47" i="32" s="1"/>
  <c r="E24" i="32"/>
  <c r="E27" i="32" s="1"/>
  <c r="E47" i="32" s="1"/>
  <c r="J29" i="22"/>
  <c r="J34" i="22" s="1"/>
  <c r="J24" i="22"/>
  <c r="H24" i="22"/>
  <c r="F48" i="22"/>
  <c r="F53" i="22" s="1"/>
  <c r="E48" i="31"/>
  <c r="E53" i="31" s="1"/>
  <c r="D48" i="31"/>
  <c r="D53" i="31" s="1"/>
  <c r="H24" i="31"/>
  <c r="H27" i="31" s="1"/>
  <c r="H47" i="31" s="1"/>
  <c r="G29" i="32"/>
  <c r="G24" i="32"/>
  <c r="G27" i="32" s="1"/>
  <c r="G47" i="32" s="1"/>
  <c r="D24" i="33"/>
  <c r="D27" i="33" s="1"/>
  <c r="D47" i="33" s="1"/>
  <c r="D24" i="31"/>
  <c r="D27" i="31" s="1"/>
  <c r="D47" i="31" s="1"/>
  <c r="H24" i="33"/>
  <c r="H27" i="33" s="1"/>
  <c r="H47" i="33" s="1"/>
  <c r="I24" i="22"/>
  <c r="H48" i="22"/>
  <c r="H53" i="22" s="1"/>
  <c r="F24" i="31"/>
  <c r="F27" i="31" s="1"/>
  <c r="F47" i="31" s="1"/>
  <c r="H48" i="33"/>
  <c r="H53" i="33" s="1"/>
  <c r="H24" i="32"/>
  <c r="H27" i="32" s="1"/>
  <c r="H47" i="32" s="1"/>
  <c r="G24" i="33"/>
  <c r="G27" i="33" s="1"/>
  <c r="G47" i="33" s="1"/>
  <c r="G48" i="17"/>
  <c r="G53" i="17" s="1"/>
  <c r="F48" i="17"/>
  <c r="F53" i="17" s="1"/>
  <c r="G52" i="14"/>
  <c r="G51" i="14"/>
  <c r="E48" i="17"/>
  <c r="E53" i="17" s="1"/>
  <c r="E24" i="17"/>
  <c r="E27" i="17" s="1"/>
  <c r="E47" i="17" s="1"/>
  <c r="C29" i="17"/>
  <c r="F24" i="17"/>
  <c r="F27" i="17" s="1"/>
  <c r="F47" i="17" s="1"/>
  <c r="D29" i="17"/>
  <c r="E48" i="6"/>
  <c r="E53" i="6" s="1"/>
  <c r="D24" i="5"/>
  <c r="D27" i="5" s="1"/>
  <c r="D47" i="5" s="1"/>
  <c r="C24" i="6"/>
  <c r="C27" i="6" s="1"/>
  <c r="C47" i="6" s="1"/>
  <c r="C55" i="6" s="1"/>
  <c r="D24" i="6"/>
  <c r="D27" i="6" s="1"/>
  <c r="D47" i="6" s="1"/>
  <c r="D55" i="6" s="1"/>
  <c r="F48" i="5"/>
  <c r="F53" i="5" s="1"/>
  <c r="E48" i="5"/>
  <c r="E53" i="5" s="1"/>
  <c r="C24" i="5"/>
  <c r="C27" i="5" s="1"/>
  <c r="C47" i="5" s="1"/>
  <c r="E24" i="5"/>
  <c r="E27" i="5" s="1"/>
  <c r="E47" i="5" s="1"/>
  <c r="G24" i="4"/>
  <c r="G27" i="4" s="1"/>
  <c r="G47" i="4" s="1"/>
  <c r="F29" i="4"/>
  <c r="F34" i="4" s="1"/>
  <c r="F52" i="33" l="1"/>
  <c r="G50" i="17"/>
  <c r="F51" i="33"/>
  <c r="G25" i="22"/>
  <c r="G27" i="22" s="1"/>
  <c r="G47" i="22" s="1"/>
  <c r="B25" i="17"/>
  <c r="B27" i="17"/>
  <c r="B47" i="17" s="1"/>
  <c r="C52" i="33"/>
  <c r="C50" i="33"/>
  <c r="C51" i="33"/>
  <c r="C25" i="17"/>
  <c r="C27" i="17" s="1"/>
  <c r="C47" i="17" s="1"/>
  <c r="B52" i="31"/>
  <c r="B50" i="31"/>
  <c r="B51" i="31"/>
  <c r="B25" i="33"/>
  <c r="B27" i="33" s="1"/>
  <c r="B47" i="33" s="1"/>
  <c r="E52" i="6"/>
  <c r="C51" i="31"/>
  <c r="C52" i="31"/>
  <c r="C50" i="31"/>
  <c r="F25" i="22"/>
  <c r="F27" i="22" s="1"/>
  <c r="F47" i="22" s="1"/>
  <c r="D25" i="17"/>
  <c r="D27" i="17" s="1"/>
  <c r="D47" i="17" s="1"/>
  <c r="D52" i="17" s="1"/>
  <c r="H25" i="22"/>
  <c r="H27" i="22" s="1"/>
  <c r="H47" i="22" s="1"/>
  <c r="I25" i="22"/>
  <c r="I27" i="22" s="1"/>
  <c r="I47" i="22" s="1"/>
  <c r="J25" i="22"/>
  <c r="J27" i="22" s="1"/>
  <c r="J47" i="22" s="1"/>
  <c r="J55" i="22" s="1"/>
  <c r="E50" i="31"/>
  <c r="B50" i="6"/>
  <c r="B55" i="6"/>
  <c r="B51" i="6"/>
  <c r="B52" i="6"/>
  <c r="C55" i="4"/>
  <c r="C52" i="4"/>
  <c r="C51" i="4"/>
  <c r="C50" i="4"/>
  <c r="F50" i="32"/>
  <c r="F24" i="4"/>
  <c r="F27" i="4" s="1"/>
  <c r="F47" i="4" s="1"/>
  <c r="E52" i="4"/>
  <c r="E50" i="4"/>
  <c r="E51" i="4"/>
  <c r="D52" i="4"/>
  <c r="D50" i="4"/>
  <c r="D51" i="4"/>
  <c r="F50" i="6"/>
  <c r="F55" i="6"/>
  <c r="G51" i="17"/>
  <c r="G51" i="6"/>
  <c r="G55" i="6"/>
  <c r="E51" i="6"/>
  <c r="E55" i="6"/>
  <c r="F51" i="6"/>
  <c r="F52" i="6"/>
  <c r="G50" i="6"/>
  <c r="G52" i="6"/>
  <c r="F50" i="5"/>
  <c r="E52" i="31"/>
  <c r="F52" i="5"/>
  <c r="H52" i="31"/>
  <c r="H50" i="31"/>
  <c r="H51" i="31"/>
  <c r="D52" i="33"/>
  <c r="D51" i="33"/>
  <c r="D50" i="33"/>
  <c r="H50" i="33"/>
  <c r="H52" i="33"/>
  <c r="H51" i="33"/>
  <c r="G50" i="33"/>
  <c r="G51" i="33"/>
  <c r="G52" i="33"/>
  <c r="D51" i="32"/>
  <c r="D50" i="32"/>
  <c r="D52" i="32"/>
  <c r="E52" i="33"/>
  <c r="E50" i="33"/>
  <c r="E51" i="33"/>
  <c r="H50" i="32"/>
  <c r="H52" i="32"/>
  <c r="H51" i="32"/>
  <c r="F52" i="31"/>
  <c r="F51" i="31"/>
  <c r="F50" i="31"/>
  <c r="G52" i="32"/>
  <c r="G50" i="32"/>
  <c r="G51" i="32"/>
  <c r="E52" i="32"/>
  <c r="E51" i="32"/>
  <c r="E50" i="32"/>
  <c r="D51" i="31"/>
  <c r="D52" i="31"/>
  <c r="D50" i="31"/>
  <c r="G52" i="31"/>
  <c r="G51" i="31"/>
  <c r="G50" i="31"/>
  <c r="E52" i="17"/>
  <c r="E50" i="17"/>
  <c r="E51" i="17"/>
  <c r="F50" i="17"/>
  <c r="F51" i="17"/>
  <c r="F52" i="17"/>
  <c r="E52" i="5"/>
  <c r="E50" i="5"/>
  <c r="E51" i="5"/>
  <c r="D52" i="6"/>
  <c r="D51" i="6"/>
  <c r="D50" i="6"/>
  <c r="C51" i="5"/>
  <c r="C52" i="5"/>
  <c r="C50" i="5"/>
  <c r="C52" i="6"/>
  <c r="C50" i="6"/>
  <c r="C51" i="6"/>
  <c r="D51" i="5"/>
  <c r="D52" i="5"/>
  <c r="D50" i="5"/>
  <c r="J51" i="22" l="1"/>
  <c r="J50" i="22"/>
  <c r="J52" i="22"/>
  <c r="H55" i="22"/>
  <c r="H51" i="22"/>
  <c r="H50" i="22"/>
  <c r="H52" i="22"/>
  <c r="F50" i="22"/>
  <c r="F55" i="22"/>
  <c r="F52" i="22"/>
  <c r="F51" i="22"/>
  <c r="I55" i="22"/>
  <c r="I50" i="22"/>
  <c r="I51" i="22"/>
  <c r="I52" i="22"/>
  <c r="G50" i="22"/>
  <c r="G51" i="22"/>
  <c r="G52" i="22"/>
  <c r="G55" i="22"/>
  <c r="B52" i="17"/>
  <c r="B50" i="17"/>
  <c r="B51" i="17"/>
  <c r="B52" i="33"/>
  <c r="B51" i="33"/>
  <c r="B50" i="33"/>
  <c r="D51" i="17"/>
  <c r="C51" i="17"/>
  <c r="C52" i="17"/>
  <c r="C50" i="17"/>
  <c r="D50" i="17"/>
  <c r="F52" i="4"/>
  <c r="F50" i="4"/>
  <c r="F51" i="4"/>
  <c r="M22" i="8" l="1"/>
  <c r="N22" i="8"/>
  <c r="N29" i="8" s="1"/>
  <c r="M24" i="8" l="1"/>
  <c r="M27" i="8" s="1"/>
  <c r="M47" i="8" s="1"/>
  <c r="M55" i="8" s="1"/>
  <c r="N24" i="8"/>
  <c r="N27" i="8" s="1"/>
  <c r="N47" i="8" s="1"/>
  <c r="N55" i="8" s="1"/>
  <c r="M29" i="8"/>
  <c r="K24" i="8"/>
  <c r="K27" i="8" s="1"/>
  <c r="K47" i="8" s="1"/>
  <c r="L24" i="8"/>
  <c r="L27" i="8" s="1"/>
  <c r="L47" i="8" s="1"/>
  <c r="J24" i="8"/>
  <c r="J27" i="8" s="1"/>
  <c r="J47" i="8" s="1"/>
  <c r="N52" i="8"/>
  <c r="N50" i="8"/>
  <c r="N51" i="8" l="1"/>
  <c r="M51" i="8"/>
  <c r="M50" i="8"/>
  <c r="M52" i="8"/>
  <c r="J51" i="8"/>
  <c r="J52" i="8"/>
  <c r="J50" i="8"/>
  <c r="J55" i="8"/>
  <c r="L50" i="8"/>
  <c r="L55" i="8"/>
  <c r="L52" i="8"/>
  <c r="L51" i="8"/>
  <c r="K55" i="8"/>
  <c r="K51" i="8"/>
  <c r="K50" i="8"/>
  <c r="K52" i="8"/>
  <c r="N17" i="119"/>
  <c r="N22" i="119"/>
  <c r="K24" i="119" l="1"/>
  <c r="K27" i="119" s="1"/>
  <c r="K47" i="119" s="1"/>
  <c r="N29" i="119"/>
  <c r="N34" i="119" s="1"/>
  <c r="L24" i="119"/>
  <c r="L27" i="119" s="1"/>
  <c r="L47" i="119" s="1"/>
  <c r="L50" i="119" l="1"/>
  <c r="L51" i="119"/>
  <c r="L55" i="119"/>
  <c r="L52" i="119"/>
  <c r="K55" i="119"/>
  <c r="K50" i="119"/>
  <c r="K51" i="119"/>
  <c r="K52" i="119"/>
  <c r="N47" i="82" l="1"/>
  <c r="N50" i="82" s="1"/>
  <c r="N25" i="82"/>
  <c r="N52" i="82" l="1"/>
  <c r="N51" i="82"/>
  <c r="M47" i="82"/>
  <c r="M50" i="82" s="1"/>
  <c r="M25" i="82"/>
  <c r="M52" i="82" l="1"/>
  <c r="M51" i="82"/>
  <c r="L47" i="82"/>
  <c r="L51" i="82" s="1"/>
  <c r="L25" i="82"/>
  <c r="L52" i="82" l="1"/>
  <c r="L50" i="82"/>
  <c r="M47" i="76" l="1"/>
  <c r="M51" i="76" s="1"/>
  <c r="M55" i="76" l="1"/>
  <c r="M52" i="76"/>
  <c r="M50" i="76"/>
  <c r="C16" i="106" l="1"/>
  <c r="C17" i="106" s="1"/>
  <c r="C24" i="106"/>
  <c r="C26" i="106" s="1"/>
  <c r="C27" i="106" l="1"/>
  <c r="C47" i="106" s="1"/>
  <c r="C55" i="106" s="1"/>
  <c r="B26" i="106"/>
  <c r="B27" i="106" s="1"/>
  <c r="B47" i="106" s="1"/>
  <c r="C51" i="106"/>
  <c r="C52" i="106"/>
  <c r="C50" i="106"/>
  <c r="B52" i="106" l="1"/>
  <c r="B51" i="106"/>
  <c r="B50" i="106"/>
  <c r="B55" i="106"/>
  <c r="H29" i="107"/>
  <c r="H24" i="107" l="1"/>
  <c r="H25" i="107" l="1"/>
  <c r="G25" i="107" s="1"/>
  <c r="F25" i="107" s="1"/>
  <c r="E25" i="107" s="1"/>
  <c r="G22" i="107"/>
  <c r="G29" i="107" s="1"/>
  <c r="E24" i="107" l="1"/>
  <c r="E27" i="107" s="1"/>
  <c r="E47" i="107" s="1"/>
  <c r="G24" i="107"/>
  <c r="G27" i="107" s="1"/>
  <c r="G47" i="107" s="1"/>
  <c r="G51" i="107" s="1"/>
  <c r="D22" i="107"/>
  <c r="F24" i="107"/>
  <c r="F27" i="107" s="1"/>
  <c r="F47" i="107" s="1"/>
  <c r="F52" i="107" s="1"/>
  <c r="H27" i="107"/>
  <c r="G55" i="107"/>
  <c r="G50" i="107"/>
  <c r="E55" i="107"/>
  <c r="E52" i="107"/>
  <c r="E50" i="107"/>
  <c r="E51" i="107"/>
  <c r="F51" i="107" l="1"/>
  <c r="G52" i="107"/>
  <c r="F50" i="107"/>
  <c r="F55" i="107"/>
  <c r="D24" i="107"/>
  <c r="D27" i="107" s="1"/>
  <c r="D47" i="107" s="1"/>
  <c r="D29" i="107"/>
  <c r="D16" i="107"/>
  <c r="D17" i="107" s="1"/>
  <c r="O22" i="130"/>
  <c r="M24" i="130" s="1"/>
  <c r="M27" i="130" s="1"/>
  <c r="D50" i="107" l="1"/>
  <c r="D52" i="107"/>
  <c r="D51" i="107"/>
  <c r="D55" i="107"/>
  <c r="H24" i="130"/>
  <c r="I24" i="130"/>
  <c r="I26" i="130" s="1"/>
  <c r="I27" i="130" s="1"/>
  <c r="I47" i="130" s="1"/>
  <c r="J24" i="130"/>
  <c r="J26" i="130" s="1"/>
  <c r="J27" i="130" s="1"/>
  <c r="J47" i="130" s="1"/>
  <c r="K29" i="130"/>
  <c r="K24" i="130"/>
  <c r="O24" i="130"/>
  <c r="O27" i="130" s="1"/>
  <c r="L24" i="130"/>
  <c r="L27" i="130" s="1"/>
  <c r="N24" i="130"/>
  <c r="N27" i="130" s="1"/>
  <c r="O29" i="130"/>
  <c r="O34" i="130" s="1"/>
  <c r="H26" i="130" l="1"/>
  <c r="H27" i="130" s="1"/>
  <c r="H47" i="130" s="1"/>
  <c r="I51" i="130"/>
  <c r="I52" i="130"/>
  <c r="I50" i="130"/>
  <c r="I55" i="130"/>
  <c r="J52" i="130"/>
  <c r="J55" i="130"/>
  <c r="J50" i="130"/>
  <c r="J51" i="130"/>
  <c r="K26" i="130"/>
  <c r="K27" i="130" s="1"/>
  <c r="K47" i="130" s="1"/>
  <c r="M37" i="114"/>
  <c r="N37" i="114"/>
  <c r="H50" i="130" l="1"/>
  <c r="H51" i="130"/>
  <c r="H55" i="130"/>
  <c r="H52" i="130"/>
  <c r="K50" i="130"/>
  <c r="K51" i="130"/>
  <c r="K55" i="130"/>
  <c r="K52" i="130"/>
  <c r="M48" i="114"/>
  <c r="M53" i="114" s="1"/>
  <c r="N48" i="114"/>
  <c r="N53" i="114" s="1"/>
  <c r="L35" i="114"/>
  <c r="L37" i="114" l="1"/>
  <c r="J48" i="114" l="1"/>
  <c r="J53" i="114" s="1"/>
  <c r="I48" i="114"/>
  <c r="I53" i="114" s="1"/>
  <c r="L48" i="114"/>
  <c r="L53" i="114" s="1"/>
  <c r="K48" i="114"/>
  <c r="K53" i="114" s="1"/>
  <c r="C22" i="107" l="1"/>
  <c r="C24" i="107" l="1"/>
  <c r="C27" i="107" s="1"/>
  <c r="C47" i="107" s="1"/>
  <c r="B24" i="107"/>
  <c r="B27" i="107" s="1"/>
  <c r="B47" i="107" s="1"/>
  <c r="C50" i="107"/>
  <c r="C55" i="107"/>
  <c r="C51" i="107"/>
  <c r="C52" i="107"/>
  <c r="C29" i="107"/>
  <c r="B50" i="107" l="1"/>
  <c r="B52" i="107"/>
  <c r="B51" i="107"/>
  <c r="B55" i="107"/>
  <c r="I48" i="131"/>
  <c r="I53" i="131" s="1"/>
  <c r="K48" i="131"/>
  <c r="K53" i="131" s="1"/>
  <c r="J48" i="131"/>
  <c r="J53" i="131" s="1"/>
  <c r="K27" i="98" l="1"/>
  <c r="K47" i="98" s="1"/>
  <c r="K51" i="98" l="1"/>
  <c r="K55" i="98"/>
  <c r="K52" i="98"/>
  <c r="K50" i="98"/>
  <c r="J27" i="98"/>
  <c r="J47" i="98" s="1"/>
  <c r="J52" i="98" l="1"/>
  <c r="J55" i="98"/>
  <c r="J50" i="98"/>
  <c r="J51" i="98"/>
  <c r="J17" i="97" l="1"/>
  <c r="J22" i="97"/>
  <c r="J29" i="97" s="1"/>
  <c r="K22" i="97"/>
  <c r="K29" i="97" s="1"/>
  <c r="K24" i="97" l="1"/>
  <c r="K25" i="97" s="1"/>
  <c r="J24" i="97"/>
  <c r="J25" i="97" s="1"/>
  <c r="I17" i="97"/>
  <c r="I22" i="97"/>
  <c r="K17" i="97"/>
  <c r="H24" i="97" l="1"/>
  <c r="H25" i="97" s="1"/>
  <c r="H27" i="97" s="1"/>
  <c r="H47" i="97" s="1"/>
  <c r="G24" i="97"/>
  <c r="F24" i="97"/>
  <c r="H55" i="97"/>
  <c r="H52" i="97"/>
  <c r="H51" i="97"/>
  <c r="H50" i="97"/>
  <c r="K27" i="97"/>
  <c r="K47" i="97" s="1"/>
  <c r="K51" i="97" s="1"/>
  <c r="J27" i="97"/>
  <c r="J47" i="97" s="1"/>
  <c r="J52" i="97" s="1"/>
  <c r="I29" i="97"/>
  <c r="I24" i="97"/>
  <c r="F25" i="97" l="1"/>
  <c r="F27" i="97" s="1"/>
  <c r="F47" i="97" s="1"/>
  <c r="G25" i="97"/>
  <c r="G27" i="97" s="1"/>
  <c r="G47" i="97" s="1"/>
  <c r="K55" i="97"/>
  <c r="K52" i="97"/>
  <c r="J50" i="97"/>
  <c r="J55" i="97"/>
  <c r="K50" i="97"/>
  <c r="J51" i="97"/>
  <c r="I25" i="97"/>
  <c r="I27" i="97" s="1"/>
  <c r="I47" i="97" s="1"/>
  <c r="G55" i="97" l="1"/>
  <c r="G50" i="97"/>
  <c r="G51" i="97"/>
  <c r="G52" i="97"/>
  <c r="I52" i="97"/>
  <c r="I51" i="97"/>
  <c r="I50" i="97"/>
  <c r="I55" i="97"/>
  <c r="F25" i="73" l="1"/>
  <c r="F27" i="73" s="1"/>
  <c r="F47" i="73" s="1"/>
  <c r="F50" i="73" l="1"/>
  <c r="F55" i="73"/>
  <c r="F52" i="73"/>
  <c r="F51" i="73"/>
  <c r="T22" i="13" l="1"/>
  <c r="T29" i="13" s="1"/>
  <c r="U22" i="13"/>
  <c r="U29" i="13" s="1"/>
  <c r="V22" i="13"/>
  <c r="V29" i="13" s="1"/>
  <c r="S22" i="13"/>
  <c r="S29" i="13" s="1"/>
  <c r="S24" i="13" l="1"/>
  <c r="S27" i="13" s="1"/>
  <c r="S47" i="13" s="1"/>
  <c r="S51" i="13"/>
  <c r="S52" i="13"/>
  <c r="S50" i="13"/>
  <c r="R22" i="13"/>
  <c r="R29" i="13" s="1"/>
  <c r="R24" i="13" l="1"/>
  <c r="R27" i="13" s="1"/>
  <c r="R47" i="13" s="1"/>
  <c r="R50" i="13" l="1"/>
  <c r="R52" i="13"/>
  <c r="R51" i="13"/>
  <c r="Q22" i="13"/>
  <c r="Q29" i="13" s="1"/>
  <c r="Q24" i="13" l="1"/>
  <c r="Q27" i="13" s="1"/>
  <c r="Q47" i="13" s="1"/>
  <c r="Q50" i="13" l="1"/>
  <c r="Q51" i="13"/>
  <c r="Q52" i="13"/>
  <c r="P22" i="13"/>
  <c r="P29" i="13" s="1"/>
  <c r="P24" i="13" l="1"/>
  <c r="P27" i="13" s="1"/>
  <c r="P47" i="13" s="1"/>
  <c r="P52" i="13"/>
  <c r="P50" i="13"/>
  <c r="P51" i="13"/>
  <c r="O22" i="13"/>
  <c r="O29" i="13" s="1"/>
  <c r="O24" i="13" l="1"/>
  <c r="O27" i="13" s="1"/>
  <c r="O47" i="13" s="1"/>
  <c r="O52" i="13" l="1"/>
  <c r="O50" i="13"/>
  <c r="O51" i="13"/>
  <c r="N22" i="13"/>
  <c r="N29" i="13" s="1"/>
  <c r="N24" i="13" l="1"/>
  <c r="N27" i="13" s="1"/>
  <c r="N47" i="13" s="1"/>
  <c r="N52" i="13" l="1"/>
  <c r="N50" i="13"/>
  <c r="N51" i="13"/>
  <c r="M29" i="13"/>
  <c r="M22" i="13"/>
  <c r="M24" i="13"/>
  <c r="M27" i="13" s="1"/>
  <c r="M47" i="13" s="1"/>
  <c r="M50" i="13" l="1"/>
  <c r="M51" i="13"/>
  <c r="M52" i="13"/>
  <c r="L22" i="13"/>
  <c r="L29" i="13" s="1"/>
  <c r="L24" i="13" l="1"/>
  <c r="L27" i="13" s="1"/>
  <c r="L47" i="13" s="1"/>
  <c r="L51" i="13" l="1"/>
  <c r="L52" i="13"/>
  <c r="L50" i="13"/>
  <c r="K22" i="13"/>
  <c r="J24" i="13" s="1"/>
  <c r="J27" i="13" s="1"/>
  <c r="J47" i="13" s="1"/>
  <c r="I24" i="13" l="1"/>
  <c r="I27" i="13" s="1"/>
  <c r="I47" i="13" s="1"/>
  <c r="H24" i="13"/>
  <c r="H27" i="13" s="1"/>
  <c r="H47" i="13" s="1"/>
  <c r="H52" i="13" s="1"/>
  <c r="K24" i="13"/>
  <c r="K27" i="13" s="1"/>
  <c r="K47" i="13" s="1"/>
  <c r="K52" i="13" s="1"/>
  <c r="K29" i="13"/>
  <c r="J51" i="13"/>
  <c r="J50" i="13"/>
  <c r="J52" i="13"/>
  <c r="I51" i="13"/>
  <c r="I50" i="13"/>
  <c r="I52" i="13"/>
  <c r="H51" i="13"/>
  <c r="H50" i="13"/>
  <c r="K50" i="13"/>
  <c r="K51" i="13" l="1"/>
  <c r="I35" i="82"/>
  <c r="I37" i="82" s="1"/>
  <c r="I48" i="82" s="1"/>
  <c r="I53" i="82" s="1"/>
  <c r="H37" i="82"/>
  <c r="E48" i="82" l="1"/>
  <c r="E53" i="82" s="1"/>
  <c r="G48" i="82"/>
  <c r="G53" i="82" s="1"/>
  <c r="F48" i="82"/>
  <c r="F53" i="82" s="1"/>
  <c r="H48" i="82"/>
  <c r="H53" i="82" s="1"/>
  <c r="F50" i="97" l="1"/>
  <c r="F41" i="97"/>
  <c r="F52" i="97" s="1"/>
  <c r="F53" i="97" l="1"/>
  <c r="F51" i="97"/>
  <c r="F55" i="97"/>
  <c r="E50" i="97"/>
  <c r="E41" i="97"/>
  <c r="E52" i="97" s="1"/>
  <c r="E53" i="97"/>
  <c r="E51" i="97" l="1"/>
  <c r="E55" i="97"/>
  <c r="E32" i="9" l="1"/>
  <c r="C17" i="26" l="1"/>
  <c r="D27" i="26" l="1"/>
  <c r="D47" i="26" s="1"/>
  <c r="D22" i="26"/>
  <c r="D29" i="26" l="1"/>
  <c r="B24" i="26"/>
  <c r="B25" i="26" s="1"/>
  <c r="B27" i="26" s="1"/>
  <c r="B47" i="26" s="1"/>
  <c r="D16" i="26"/>
  <c r="D17" i="26" s="1"/>
  <c r="D55" i="26"/>
  <c r="D50" i="26"/>
  <c r="D51" i="26"/>
  <c r="D52" i="26"/>
  <c r="C24" i="26"/>
  <c r="C27" i="26" s="1"/>
  <c r="C47" i="26" s="1"/>
  <c r="B52" i="26" l="1"/>
  <c r="B50" i="26"/>
  <c r="B51" i="26"/>
  <c r="C50" i="26"/>
  <c r="C51" i="26"/>
  <c r="C52" i="26"/>
  <c r="C55"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Parikshit Marathe</author>
    <author>Deepak Rawat</author>
    <author>William Schroeder</author>
    <author>Author</author>
  </authors>
  <commentList>
    <comment ref="D13" authorId="0" shapeId="0" xr:uid="{00000000-0006-0000-0000-000001000000}">
      <text>
        <r>
          <rPr>
            <sz val="8"/>
            <color indexed="81"/>
            <rFont val="Tahoma"/>
            <family val="2"/>
          </rPr>
          <t>ALPHA 3 B.V.</t>
        </r>
      </text>
    </comment>
    <comment ref="D14" authorId="1" shapeId="0" xr:uid="{A2B2444B-F001-4EB9-96B1-FC5B1A17E637}">
      <text>
        <r>
          <rPr>
            <sz val="9"/>
            <color indexed="81"/>
            <rFont val="Tahoma"/>
            <family val="2"/>
          </rPr>
          <t>External link + Company website in external link comment</t>
        </r>
      </text>
    </comment>
    <comment ref="Q14" authorId="1" shapeId="0" xr:uid="{747CD08A-96C3-4C22-AE72-32571BF02DF5}">
      <text>
        <r>
          <rPr>
            <sz val="9"/>
            <color indexed="81"/>
            <rFont val="Tahoma"/>
            <family val="2"/>
          </rPr>
          <t>http://www.j2acquisitionlimited.com/</t>
        </r>
      </text>
    </comment>
    <comment ref="A16" authorId="2" shapeId="0" xr:uid="{00000000-0006-0000-0000-000002000000}">
      <text>
        <r>
          <rPr>
            <b/>
            <sz val="8"/>
            <color indexed="81"/>
            <rFont val="Tahoma"/>
            <family val="2"/>
          </rPr>
          <t>If trades up to mid 80's will consider selling</t>
        </r>
      </text>
    </comment>
    <comment ref="D20" authorId="3" shapeId="0" xr:uid="{00000000-0006-0000-0000-000003000000}">
      <text>
        <r>
          <rPr>
            <sz val="8"/>
            <color indexed="81"/>
            <rFont val="Tahoma"/>
            <family val="2"/>
          </rPr>
          <t>GC EOS Buyer</t>
        </r>
      </text>
    </comment>
    <comment ref="D21" authorId="1" shapeId="0" xr:uid="{00000000-0006-0000-0000-000004000000}">
      <text>
        <r>
          <rPr>
            <sz val="8"/>
            <color indexed="81"/>
            <rFont val="Tahoma"/>
            <family val="2"/>
          </rPr>
          <t>Publicly traded as Cheniere Energy Partners,L.P</t>
        </r>
      </text>
    </comment>
    <comment ref="D30" authorId="1" shapeId="0" xr:uid="{00000000-0006-0000-0000-000005000000}">
      <text>
        <r>
          <rPr>
            <sz val="8"/>
            <color indexed="81"/>
            <rFont val="Tahoma"/>
            <family val="2"/>
          </rPr>
          <t>Wand Newco 3</t>
        </r>
      </text>
    </comment>
    <comment ref="D31" authorId="0" shapeId="0" xr:uid="{00000000-0006-0000-0000-000007000000}">
      <text>
        <r>
          <rPr>
            <sz val="8"/>
            <color indexed="81"/>
            <rFont val="Tahoma"/>
            <family val="2"/>
          </rPr>
          <t>Financials available in DPL Inc (DPL) SEC Website</t>
        </r>
      </text>
    </comment>
    <comment ref="D37" authorId="1" shapeId="0" xr:uid="{00000000-0006-0000-0000-000006000000}">
      <text>
        <r>
          <rPr>
            <sz val="9"/>
            <color indexed="81"/>
            <rFont val="Tahoma"/>
            <family val="2"/>
          </rPr>
          <t>Cobham - AI Convoy</t>
        </r>
      </text>
    </comment>
    <comment ref="D43" authorId="1" shapeId="0" xr:uid="{00000000-0006-0000-0000-000008000000}">
      <text>
        <r>
          <rPr>
            <sz val="8"/>
            <color indexed="81"/>
            <rFont val="Tahoma"/>
            <family val="2"/>
          </rPr>
          <t>AI Alpine</t>
        </r>
      </text>
    </comment>
    <comment ref="D45" authorId="3" shapeId="0" xr:uid="{00000000-0006-0000-0000-000009000000}">
      <text>
        <r>
          <rPr>
            <sz val="8"/>
            <color indexed="81"/>
            <rFont val="Tahoma"/>
            <family val="2"/>
          </rPr>
          <t>Energy Acquisition</t>
        </r>
      </text>
    </comment>
    <comment ref="D49" authorId="0" shapeId="0" xr:uid="{00000000-0006-0000-0000-00000A000000}">
      <text>
        <r>
          <rPr>
            <sz val="8"/>
            <color indexed="81"/>
            <rFont val="Tahoma"/>
            <family val="2"/>
          </rPr>
          <t>Core &amp; Main</t>
        </r>
      </text>
    </comment>
    <comment ref="D80" authorId="0" shapeId="0" xr:uid="{00000000-0006-0000-0000-00000B000000}">
      <text>
        <r>
          <rPr>
            <sz val="8"/>
            <color indexed="81"/>
            <rFont val="Tahoma"/>
            <family val="2"/>
          </rPr>
          <t>EFS Cogen Holdings</t>
        </r>
      </text>
    </comment>
    <comment ref="D81" authorId="0" shapeId="0" xr:uid="{00000000-0006-0000-0000-00000C000000}">
      <text>
        <r>
          <rPr>
            <sz val="8"/>
            <color indexed="81"/>
            <rFont val="Tahoma"/>
            <family val="2"/>
          </rPr>
          <t>MB Aerospace Holdings</t>
        </r>
      </text>
    </comment>
    <comment ref="D84" authorId="1" shapeId="0" xr:uid="{00000000-0006-0000-0000-00000D000000}">
      <text>
        <r>
          <rPr>
            <sz val="8"/>
            <color indexed="81"/>
            <rFont val="Tahoma"/>
            <family val="2"/>
          </rPr>
          <t>PowerTeam</t>
        </r>
      </text>
    </comment>
    <comment ref="D86" authorId="1" shapeId="0" xr:uid="{00000000-0006-0000-0000-000010000000}">
      <text>
        <r>
          <rPr>
            <sz val="8"/>
            <color indexed="81"/>
            <rFont val="Tahoma"/>
            <family val="2"/>
          </rPr>
          <t>Midas Intermediate Holdco II</t>
        </r>
      </text>
    </comment>
    <comment ref="D88" authorId="1" shapeId="0" xr:uid="{00000000-0006-0000-0000-00000E000000}">
      <text>
        <r>
          <rPr>
            <sz val="8"/>
            <color indexed="81"/>
            <rFont val="Tahoma"/>
            <family val="2"/>
          </rPr>
          <t>JCI Power Soliutions (Folder)
Panther (Datasite)</t>
        </r>
      </text>
    </comment>
    <comment ref="D89" authorId="0" shapeId="0" xr:uid="{00000000-0006-0000-0000-000013000000}">
      <text>
        <r>
          <rPr>
            <sz val="8"/>
            <color indexed="81"/>
            <rFont val="Tahoma"/>
            <family val="2"/>
          </rPr>
          <t>Wrangler Buyer Corp</t>
        </r>
      </text>
    </comment>
    <comment ref="D93" authorId="0" shapeId="0" xr:uid="{00000000-0006-0000-0000-00000F000000}">
      <text>
        <r>
          <rPr>
            <sz val="8"/>
            <color indexed="81"/>
            <rFont val="Tahoma"/>
            <family val="2"/>
          </rPr>
          <t>PSC INDUSTRIAL HOLDINGS</t>
        </r>
      </text>
    </comment>
    <comment ref="D103" authorId="1" shapeId="0" xr:uid="{00000000-0006-0000-0000-000011000000}">
      <text>
        <r>
          <rPr>
            <sz val="8"/>
            <color indexed="81"/>
            <rFont val="Tahoma"/>
            <family val="2"/>
          </rPr>
          <t>Dynasty</t>
        </r>
      </text>
    </comment>
    <comment ref="D105" authorId="1" shapeId="0" xr:uid="{58D837C4-0591-487D-AF2C-927EC7A91F48}">
      <text>
        <r>
          <rPr>
            <sz val="8"/>
            <color indexed="81"/>
            <rFont val="Tahoma"/>
            <family val="2"/>
          </rPr>
          <t>Vertical US</t>
        </r>
      </text>
    </comment>
    <comment ref="D106" authorId="0" shapeId="0" xr:uid="{00000000-0006-0000-0000-000012000000}">
      <text>
        <r>
          <rPr>
            <sz val="8"/>
            <color indexed="81"/>
            <rFont val="Tahoma"/>
            <family val="2"/>
          </rPr>
          <t>Eastern Generation</t>
        </r>
      </text>
    </comment>
    <comment ref="D107" authorId="1" shapeId="0" xr:uid="{00000000-0006-0000-0000-000016000000}">
      <text>
        <r>
          <rPr>
            <sz val="8"/>
            <color indexed="81"/>
            <rFont val="Tahoma"/>
            <family val="2"/>
          </rPr>
          <t>Granite Acquisition</t>
        </r>
      </text>
    </comment>
    <comment ref="D110" authorId="0" shapeId="0" xr:uid="{00000000-0006-0000-0000-000014000000}">
      <text>
        <r>
          <rPr>
            <sz val="8"/>
            <color indexed="81"/>
            <rFont val="Tahoma"/>
            <family val="2"/>
          </rPr>
          <t>USS Ultimate Holdings</t>
        </r>
      </text>
    </comment>
    <comment ref="D115" authorId="1" shapeId="0" xr:uid="{00000000-0006-0000-0000-000015000000}">
      <text>
        <r>
          <rPr>
            <sz val="9"/>
            <color indexed="81"/>
            <rFont val="Tahoma"/>
            <family val="2"/>
          </rPr>
          <t>Westinghouse: Brookfield WEC Holdings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O16" authorId="0" shapeId="0" xr:uid="{00000000-0006-0000-0C00-000003000000}">
      <text>
        <r>
          <rPr>
            <sz val="8"/>
            <color indexed="81"/>
            <rFont val="Tahoma"/>
            <family val="2"/>
          </rPr>
          <t>Management Adjusted EBITDA
Source: 1Q19 MD&amp;A</t>
        </r>
      </text>
    </comment>
    <comment ref="Q16" authorId="0" shapeId="0" xr:uid="{00000000-0006-0000-0C00-000004000000}">
      <text>
        <r>
          <rPr>
            <sz val="8"/>
            <color indexed="81"/>
            <rFont val="Tahoma"/>
            <family val="2"/>
          </rPr>
          <t>Calculation outside printable area on the right</t>
        </r>
      </text>
    </comment>
    <comment ref="I26" authorId="0" shapeId="0" xr:uid="{00000000-0006-0000-0C00-000005000000}">
      <text>
        <r>
          <rPr>
            <sz val="8"/>
            <color indexed="81"/>
            <rFont val="Tahoma"/>
            <family val="2"/>
          </rPr>
          <t>PF from September 2019 LP</t>
        </r>
      </text>
    </comment>
    <comment ref="J26" authorId="0" shapeId="0" xr:uid="{00000000-0006-0000-0C00-000006000000}">
      <text>
        <r>
          <rPr>
            <sz val="8"/>
            <color indexed="81"/>
            <rFont val="Tahoma"/>
            <family val="2"/>
          </rPr>
          <t>PF from September 2019 LP</t>
        </r>
      </text>
    </comment>
    <comment ref="K26" authorId="0" shapeId="0" xr:uid="{00000000-0006-0000-0C00-000007000000}">
      <text>
        <r>
          <rPr>
            <sz val="8"/>
            <color indexed="81"/>
            <rFont val="Tahoma"/>
            <family val="2"/>
          </rPr>
          <t>PF from June 2019 LP</t>
        </r>
      </text>
    </comment>
    <comment ref="J39" authorId="0" shapeId="0" xr:uid="{00000000-0006-0000-0C00-000008000000}">
      <text>
        <r>
          <rPr>
            <sz val="8"/>
            <color indexed="81"/>
            <rFont val="Tahoma"/>
            <family val="2"/>
          </rPr>
          <t>PF from September 2019 LP</t>
        </r>
      </text>
    </comment>
    <comment ref="K39" authorId="0" shapeId="0" xr:uid="{00000000-0006-0000-0C00-000009000000}">
      <text>
        <r>
          <rPr>
            <sz val="8"/>
            <color indexed="81"/>
            <rFont val="Tahoma"/>
            <family val="2"/>
          </rPr>
          <t>PF from June 2019 LP</t>
        </r>
      </text>
    </comment>
    <comment ref="L39" authorId="0" shapeId="0" xr:uid="{00000000-0006-0000-0C00-00000A000000}">
      <text>
        <r>
          <rPr>
            <sz val="8"/>
            <color indexed="81"/>
            <rFont val="Tahoma"/>
            <family val="2"/>
          </rPr>
          <t>Pro Forma</t>
        </r>
      </text>
    </comment>
    <comment ref="N39" authorId="0" shapeId="0" xr:uid="{00000000-0006-0000-0C00-00000B000000}">
      <text>
        <r>
          <rPr>
            <sz val="8"/>
            <color indexed="81"/>
            <rFont val="Tahoma"/>
            <family val="2"/>
          </rPr>
          <t>Pro Forma</t>
        </r>
      </text>
    </comment>
    <comment ref="O39" authorId="0" shapeId="0" xr:uid="{00000000-0006-0000-0C00-00000C000000}">
      <text>
        <r>
          <rPr>
            <sz val="8"/>
            <color indexed="81"/>
            <rFont val="Tahoma"/>
            <family val="2"/>
          </rPr>
          <t>Pro Forma</t>
        </r>
      </text>
    </comment>
    <comment ref="P39" authorId="0" shapeId="0" xr:uid="{00000000-0006-0000-0C00-00000D000000}">
      <text>
        <r>
          <rPr>
            <sz val="8"/>
            <color indexed="81"/>
            <rFont val="Tahoma"/>
            <family val="2"/>
          </rPr>
          <t>Pro Forma</t>
        </r>
      </text>
    </comment>
    <comment ref="J40" authorId="0" shapeId="0" xr:uid="{00000000-0006-0000-0C00-00000E000000}">
      <text>
        <r>
          <rPr>
            <sz val="8"/>
            <color indexed="81"/>
            <rFont val="Tahoma"/>
            <family val="2"/>
          </rPr>
          <t>PF from September 2019 LP</t>
        </r>
      </text>
    </comment>
    <comment ref="K40" authorId="0" shapeId="0" xr:uid="{00000000-0006-0000-0C00-00000F000000}">
      <text>
        <r>
          <rPr>
            <sz val="8"/>
            <color indexed="81"/>
            <rFont val="Tahoma"/>
            <family val="2"/>
          </rPr>
          <t>PF from June 2019 LP</t>
        </r>
      </text>
    </comment>
    <comment ref="L40" authorId="0" shapeId="0" xr:uid="{00000000-0006-0000-0C00-000010000000}">
      <text>
        <r>
          <rPr>
            <sz val="8"/>
            <color indexed="81"/>
            <rFont val="Tahoma"/>
            <family val="2"/>
          </rPr>
          <t>Pro Forma</t>
        </r>
      </text>
    </comment>
    <comment ref="N40" authorId="0" shapeId="0" xr:uid="{00000000-0006-0000-0C00-000011000000}">
      <text>
        <r>
          <rPr>
            <sz val="8"/>
            <color indexed="81"/>
            <rFont val="Tahoma"/>
            <family val="2"/>
          </rPr>
          <t>Pro Forma</t>
        </r>
      </text>
    </comment>
    <comment ref="O40" authorId="0" shapeId="0" xr:uid="{00000000-0006-0000-0C00-000012000000}">
      <text>
        <r>
          <rPr>
            <sz val="8"/>
            <color indexed="81"/>
            <rFont val="Tahoma"/>
            <family val="2"/>
          </rPr>
          <t>Pro Forma</t>
        </r>
      </text>
    </comment>
    <comment ref="P40" authorId="0" shapeId="0" xr:uid="{00000000-0006-0000-0C00-000013000000}">
      <text>
        <r>
          <rPr>
            <sz val="8"/>
            <color indexed="81"/>
            <rFont val="Tahoma"/>
            <family val="2"/>
          </rPr>
          <t>Pro Forma</t>
        </r>
      </text>
    </comment>
    <comment ref="J41" authorId="0" shapeId="0" xr:uid="{00000000-0006-0000-0C00-000014000000}">
      <text>
        <r>
          <rPr>
            <sz val="8"/>
            <color indexed="81"/>
            <rFont val="Tahoma"/>
            <family val="2"/>
          </rPr>
          <t>PF from September 2019 LP</t>
        </r>
      </text>
    </comment>
    <comment ref="K41" authorId="0" shapeId="0" xr:uid="{00000000-0006-0000-0C00-000015000000}">
      <text>
        <r>
          <rPr>
            <sz val="8"/>
            <color indexed="81"/>
            <rFont val="Tahoma"/>
            <family val="2"/>
          </rPr>
          <t>PF from June 2019 LP</t>
        </r>
      </text>
    </comment>
    <comment ref="L41" authorId="0" shapeId="0" xr:uid="{00000000-0006-0000-0C00-000016000000}">
      <text>
        <r>
          <rPr>
            <sz val="8"/>
            <color indexed="81"/>
            <rFont val="Tahoma"/>
            <family val="2"/>
          </rPr>
          <t>Pro Forma</t>
        </r>
      </text>
    </comment>
    <comment ref="N41" authorId="0" shapeId="0" xr:uid="{00000000-0006-0000-0C00-000017000000}">
      <text>
        <r>
          <rPr>
            <sz val="8"/>
            <color indexed="81"/>
            <rFont val="Tahoma"/>
            <family val="2"/>
          </rPr>
          <t>Pro Forma</t>
        </r>
      </text>
    </comment>
    <comment ref="O41" authorId="0" shapeId="0" xr:uid="{00000000-0006-0000-0C00-000018000000}">
      <text>
        <r>
          <rPr>
            <sz val="8"/>
            <color indexed="81"/>
            <rFont val="Tahoma"/>
            <family val="2"/>
          </rPr>
          <t>Pro Forma</t>
        </r>
      </text>
    </comment>
    <comment ref="P41" authorId="0" shapeId="0" xr:uid="{00000000-0006-0000-0C00-000019000000}">
      <text>
        <r>
          <rPr>
            <sz val="8"/>
            <color indexed="81"/>
            <rFont val="Tahoma"/>
            <family val="2"/>
          </rPr>
          <t>Pro Forma</t>
        </r>
      </text>
    </comment>
    <comment ref="J42" authorId="0" shapeId="0" xr:uid="{00000000-0006-0000-0C00-00001A000000}">
      <text>
        <r>
          <rPr>
            <sz val="8"/>
            <color indexed="81"/>
            <rFont val="Tahoma"/>
            <family val="2"/>
          </rPr>
          <t>PF from September 2019 LP</t>
        </r>
      </text>
    </comment>
    <comment ref="K42" authorId="0" shapeId="0" xr:uid="{00000000-0006-0000-0C00-00001B000000}">
      <text>
        <r>
          <rPr>
            <sz val="8"/>
            <color indexed="81"/>
            <rFont val="Tahoma"/>
            <family val="2"/>
          </rPr>
          <t>PF from June 2019 LP</t>
        </r>
      </text>
    </comment>
    <comment ref="N42" authorId="0" shapeId="0" xr:uid="{00000000-0006-0000-0C00-00001C000000}">
      <text>
        <r>
          <rPr>
            <sz val="8"/>
            <color indexed="81"/>
            <rFont val="Tahoma"/>
            <family val="2"/>
          </rPr>
          <t>Pro Forma</t>
        </r>
      </text>
    </comment>
    <comment ref="O42" authorId="0" shapeId="0" xr:uid="{00000000-0006-0000-0C00-00001D000000}">
      <text>
        <r>
          <rPr>
            <sz val="8"/>
            <color indexed="81"/>
            <rFont val="Tahoma"/>
            <family val="2"/>
          </rPr>
          <t>Pro Forma</t>
        </r>
      </text>
    </comment>
    <comment ref="P42" authorId="0" shapeId="0" xr:uid="{00000000-0006-0000-0C00-00001E000000}">
      <text>
        <r>
          <rPr>
            <sz val="8"/>
            <color indexed="81"/>
            <rFont val="Tahoma"/>
            <family val="2"/>
          </rPr>
          <t>Pro Forma</t>
        </r>
      </text>
    </comment>
    <comment ref="J44" authorId="0" shapeId="0" xr:uid="{00000000-0006-0000-0C00-00001F000000}">
      <text>
        <r>
          <rPr>
            <sz val="8"/>
            <color indexed="81"/>
            <rFont val="Tahoma"/>
            <family val="2"/>
          </rPr>
          <t>PF from September 2019 LP</t>
        </r>
      </text>
    </comment>
    <comment ref="K44" authorId="0" shapeId="0" xr:uid="{00000000-0006-0000-0C00-000020000000}">
      <text>
        <r>
          <rPr>
            <sz val="8"/>
            <color indexed="81"/>
            <rFont val="Tahoma"/>
            <family val="2"/>
          </rPr>
          <t>PF from June 2019 LP</t>
        </r>
      </text>
    </comment>
    <comment ref="L44" authorId="0" shapeId="0" xr:uid="{00000000-0006-0000-0C00-000021000000}">
      <text>
        <r>
          <rPr>
            <sz val="8"/>
            <color indexed="81"/>
            <rFont val="Tahoma"/>
            <family val="2"/>
          </rPr>
          <t>Pro Forma</t>
        </r>
      </text>
    </comment>
    <comment ref="N44" authorId="0" shapeId="0" xr:uid="{00000000-0006-0000-0C00-000022000000}">
      <text>
        <r>
          <rPr>
            <sz val="8"/>
            <color indexed="81"/>
            <rFont val="Tahoma"/>
            <family val="2"/>
          </rPr>
          <t>Pro Forma</t>
        </r>
      </text>
    </comment>
    <comment ref="O44" authorId="0" shapeId="0" xr:uid="{00000000-0006-0000-0C00-000023000000}">
      <text>
        <r>
          <rPr>
            <sz val="8"/>
            <color indexed="81"/>
            <rFont val="Tahoma"/>
            <family val="2"/>
          </rPr>
          <t>Pro Forma</t>
        </r>
      </text>
    </comment>
    <comment ref="P44" authorId="0" shapeId="0" xr:uid="{00000000-0006-0000-0C00-000024000000}">
      <text>
        <r>
          <rPr>
            <sz val="8"/>
            <color indexed="81"/>
            <rFont val="Tahoma"/>
            <family val="2"/>
          </rPr>
          <t>Pro Forma</t>
        </r>
      </text>
    </comment>
    <comment ref="L46" authorId="0" shapeId="0" xr:uid="{00000000-0006-0000-0C00-000025000000}">
      <text>
        <r>
          <rPr>
            <sz val="8"/>
            <color indexed="81"/>
            <rFont val="Tahoma"/>
            <family val="2"/>
          </rPr>
          <t>Pro Forma</t>
        </r>
      </text>
    </comment>
    <comment ref="M46" authorId="0" shapeId="0" xr:uid="{00000000-0006-0000-0C00-000026000000}">
      <text>
        <r>
          <rPr>
            <sz val="8"/>
            <color indexed="81"/>
            <rFont val="Tahoma"/>
            <family val="2"/>
          </rPr>
          <t>Pro Forma</t>
        </r>
      </text>
    </comment>
    <comment ref="N46" authorId="0" shapeId="0" xr:uid="{00000000-0006-0000-0C00-000027000000}">
      <text>
        <r>
          <rPr>
            <sz val="8"/>
            <color indexed="81"/>
            <rFont val="Tahoma"/>
            <family val="2"/>
          </rPr>
          <t>Pro Forma</t>
        </r>
      </text>
    </comment>
    <comment ref="O46" authorId="0" shapeId="0" xr:uid="{00000000-0006-0000-0C00-000028000000}">
      <text>
        <r>
          <rPr>
            <sz val="8"/>
            <color indexed="81"/>
            <rFont val="Tahoma"/>
            <family val="2"/>
          </rPr>
          <t>Pro Forma</t>
        </r>
      </text>
    </comment>
    <comment ref="P46" authorId="0" shapeId="0" xr:uid="{00000000-0006-0000-0C00-000029000000}">
      <text>
        <r>
          <rPr>
            <sz val="8"/>
            <color indexed="81"/>
            <rFont val="Tahoma"/>
            <family val="2"/>
          </rPr>
          <t>Pro Forma</t>
        </r>
      </text>
    </comment>
    <comment ref="J47" authorId="0" shapeId="0" xr:uid="{00000000-0006-0000-0C00-00002A000000}">
      <text>
        <r>
          <rPr>
            <sz val="8"/>
            <color indexed="81"/>
            <rFont val="Tahoma"/>
            <family val="2"/>
          </rPr>
          <t>PF from September 2019 LP</t>
        </r>
      </text>
    </comment>
    <comment ref="L47" authorId="0" shapeId="0" xr:uid="{00000000-0006-0000-0C00-00002B000000}">
      <text>
        <r>
          <rPr>
            <sz val="8"/>
            <color indexed="81"/>
            <rFont val="Tahoma"/>
            <family val="2"/>
          </rPr>
          <t>Pro Forma</t>
        </r>
      </text>
    </comment>
    <comment ref="M47" authorId="0" shapeId="0" xr:uid="{00000000-0006-0000-0C00-00002C000000}">
      <text>
        <r>
          <rPr>
            <sz val="8"/>
            <color indexed="81"/>
            <rFont val="Tahoma"/>
            <family val="2"/>
          </rPr>
          <t>Pro Forma</t>
        </r>
      </text>
    </comment>
    <comment ref="N47" authorId="0" shapeId="0" xr:uid="{00000000-0006-0000-0C00-00002D000000}">
      <text>
        <r>
          <rPr>
            <sz val="8"/>
            <color indexed="81"/>
            <rFont val="Tahoma"/>
            <family val="2"/>
          </rPr>
          <t>Pro Forma</t>
        </r>
      </text>
    </comment>
    <comment ref="O47" authorId="0" shapeId="0" xr:uid="{00000000-0006-0000-0C00-00002E000000}">
      <text>
        <r>
          <rPr>
            <sz val="8"/>
            <color indexed="81"/>
            <rFont val="Tahoma"/>
            <family val="2"/>
          </rPr>
          <t>Pro Forma</t>
        </r>
      </text>
    </comment>
    <comment ref="P47" authorId="0" shapeId="0" xr:uid="{00000000-0006-0000-0C00-00002F000000}">
      <text>
        <r>
          <rPr>
            <sz val="8"/>
            <color indexed="81"/>
            <rFont val="Tahoma"/>
            <family val="2"/>
          </rPr>
          <t>Pro Forma</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K42" authorId="0" shapeId="0" xr:uid="{00000000-0006-0000-0E00-000001000000}">
      <text>
        <r>
          <rPr>
            <sz val="8"/>
            <color indexed="81"/>
            <rFont val="Tahoma"/>
            <family val="2"/>
          </rPr>
          <t>As on 8th March for Quaterly Mail</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C16" authorId="0" shapeId="0" xr:uid="{F67C6ADF-A07E-4784-B7FD-1972F4590FBB}">
      <text>
        <r>
          <rPr>
            <sz val="9"/>
            <color indexed="81"/>
            <rFont val="Tahoma"/>
            <family val="2"/>
          </rPr>
          <t>Self Calculated, change when data available</t>
        </r>
      </text>
    </comment>
    <comment ref="G16" authorId="0" shapeId="0" xr:uid="{00000000-0006-0000-0F00-000001000000}">
      <text>
        <r>
          <rPr>
            <sz val="9"/>
            <color indexed="81"/>
            <rFont val="Tahoma"/>
            <family val="2"/>
          </rPr>
          <t>Self Calculated, change when data available</t>
        </r>
      </text>
    </comment>
    <comment ref="K16" authorId="0" shapeId="0" xr:uid="{00000000-0006-0000-0F00-000002000000}">
      <text>
        <r>
          <rPr>
            <sz val="9"/>
            <color indexed="81"/>
            <rFont val="Tahoma"/>
            <family val="2"/>
          </rPr>
          <t>Self Calculated, change when data available</t>
        </r>
      </text>
    </comment>
    <comment ref="B39" authorId="0" shapeId="0" xr:uid="{183AF0B2-D02D-4C3B-91B9-F8B72CC42602}">
      <text>
        <r>
          <rPr>
            <sz val="9"/>
            <color indexed="81"/>
            <rFont val="Tahoma"/>
            <family val="2"/>
          </rPr>
          <t>PF</t>
        </r>
      </text>
    </comment>
    <comment ref="C39" authorId="0" shapeId="0" xr:uid="{811AFF3A-AFFE-41F8-9952-15D967C6BF07}">
      <text>
        <r>
          <rPr>
            <sz val="9"/>
            <color indexed="81"/>
            <rFont val="Tahoma"/>
            <family val="2"/>
          </rPr>
          <t>PF</t>
        </r>
      </text>
    </comment>
    <comment ref="B40" authorId="0" shapeId="0" xr:uid="{997BE3B6-276B-4BFF-B93F-34F4246C5868}">
      <text>
        <r>
          <rPr>
            <sz val="9"/>
            <color indexed="81"/>
            <rFont val="Tahoma"/>
            <family val="2"/>
          </rPr>
          <t>PF</t>
        </r>
      </text>
    </comment>
    <comment ref="C40" authorId="0" shapeId="0" xr:uid="{6823A0AB-F329-48A5-8780-4E0A736DA563}">
      <text>
        <r>
          <rPr>
            <sz val="9"/>
            <color indexed="81"/>
            <rFont val="Tahoma"/>
            <family val="2"/>
          </rPr>
          <t>PF</t>
        </r>
      </text>
    </comment>
    <comment ref="B41" authorId="0" shapeId="0" xr:uid="{6FDC500F-0FC5-4D2F-BE12-1639099C2192}">
      <text>
        <r>
          <rPr>
            <sz val="9"/>
            <color indexed="81"/>
            <rFont val="Tahoma"/>
            <family val="2"/>
          </rPr>
          <t>PF</t>
        </r>
      </text>
    </comment>
    <comment ref="C41" authorId="0" shapeId="0" xr:uid="{4A8876B4-A5D4-45E1-B23F-A68D04AEAEFA}">
      <text>
        <r>
          <rPr>
            <sz val="9"/>
            <color indexed="81"/>
            <rFont val="Tahoma"/>
            <family val="2"/>
          </rPr>
          <t>PF</t>
        </r>
      </text>
    </comment>
    <comment ref="B42" authorId="0" shapeId="0" xr:uid="{B29D180F-1CAF-4BDA-A5AA-6F76C6D59716}">
      <text>
        <r>
          <rPr>
            <sz val="9"/>
            <color indexed="81"/>
            <rFont val="Tahoma"/>
            <family val="2"/>
          </rPr>
          <t>PF</t>
        </r>
      </text>
    </comment>
    <comment ref="C42" authorId="0" shapeId="0" xr:uid="{88C40A9A-3AAD-4E12-8138-A36886B2FCED}">
      <text>
        <r>
          <rPr>
            <sz val="9"/>
            <color indexed="81"/>
            <rFont val="Tahoma"/>
            <family val="2"/>
          </rPr>
          <t>PF</t>
        </r>
      </text>
    </comment>
    <comment ref="B44" authorId="0" shapeId="0" xr:uid="{AF920724-AC86-4A0B-8EF5-40CE8A8D1310}">
      <text>
        <r>
          <rPr>
            <sz val="9"/>
            <color indexed="81"/>
            <rFont val="Tahoma"/>
            <family val="2"/>
          </rPr>
          <t>PF</t>
        </r>
      </text>
    </comment>
    <comment ref="C44" authorId="0" shapeId="0" xr:uid="{EFB4A139-A71B-4CD0-9775-52694553251F}">
      <text>
        <r>
          <rPr>
            <sz val="9"/>
            <color indexed="81"/>
            <rFont val="Tahoma"/>
            <family val="2"/>
          </rPr>
          <t>PF</t>
        </r>
      </text>
    </comment>
    <comment ref="C46" authorId="0" shapeId="0" xr:uid="{7FDBAAD6-FD59-46DE-97EE-F3F9D603FD52}">
      <text>
        <r>
          <rPr>
            <sz val="9"/>
            <color indexed="81"/>
            <rFont val="Tahoma"/>
            <family val="2"/>
          </rPr>
          <t>PF</t>
        </r>
      </text>
    </comment>
    <comment ref="K46" authorId="0" shapeId="0" xr:uid="{00000000-0006-0000-0F00-000003000000}">
      <text>
        <r>
          <rPr>
            <sz val="8"/>
            <color indexed="81"/>
            <rFont val="Tahoma"/>
            <family val="2"/>
          </rPr>
          <t>Source: York Model</t>
        </r>
      </text>
    </comment>
    <comment ref="C47" authorId="0" shapeId="0" xr:uid="{334A64D2-4C98-4F32-8FF3-A8952D411AC9}">
      <text>
        <r>
          <rPr>
            <sz val="9"/>
            <color indexed="81"/>
            <rFont val="Tahoma"/>
            <family val="2"/>
          </rPr>
          <t>PF</t>
        </r>
      </text>
    </comment>
    <comment ref="K47" authorId="0" shapeId="0" xr:uid="{00000000-0006-0000-0F00-000004000000}">
      <text>
        <r>
          <rPr>
            <sz val="8"/>
            <color indexed="81"/>
            <rFont val="Tahoma"/>
            <family val="2"/>
          </rPr>
          <t>Source: York Model</t>
        </r>
      </text>
    </comment>
    <comment ref="K48" authorId="0" shapeId="0" xr:uid="{00000000-0006-0000-0F00-000005000000}">
      <text>
        <r>
          <rPr>
            <sz val="8"/>
            <color indexed="81"/>
            <rFont val="Tahoma"/>
            <family val="2"/>
          </rPr>
          <t>Source: York Model</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Deepak Rawat</author>
    <author>Parikshit Marathe</author>
  </authors>
  <commentList>
    <comment ref="B40" authorId="0" shapeId="0" xr:uid="{D73CF357-999F-4539-8CEB-5238246B60EF}">
      <text>
        <r>
          <rPr>
            <sz val="8"/>
            <color indexed="81"/>
            <rFont val="Tahoma"/>
            <family val="2"/>
          </rPr>
          <t>Includes Capital Lease from Presentation</t>
        </r>
      </text>
    </comment>
    <comment ref="C40" authorId="0" shapeId="0" xr:uid="{459903DF-CD3E-4C60-8EF2-AA920B945067}">
      <text>
        <r>
          <rPr>
            <sz val="8"/>
            <color indexed="81"/>
            <rFont val="Tahoma"/>
            <family val="2"/>
          </rPr>
          <t>Includes Capital Lease from Presentation</t>
        </r>
      </text>
    </comment>
    <comment ref="D40" authorId="0" shapeId="0" xr:uid="{33A38BC2-81CE-48D5-A4D6-2C4A9BB1431F}">
      <text>
        <r>
          <rPr>
            <sz val="8"/>
            <color indexed="81"/>
            <rFont val="Tahoma"/>
            <family val="2"/>
          </rPr>
          <t>Includes Capital Lease from Presentation</t>
        </r>
      </text>
    </comment>
    <comment ref="E40" authorId="0" shapeId="0" xr:uid="{00000000-0006-0000-1000-000001000000}">
      <text>
        <r>
          <rPr>
            <sz val="8"/>
            <color indexed="81"/>
            <rFont val="Tahoma"/>
            <family val="2"/>
          </rPr>
          <t>Includes Capital Lease from Presentation</t>
        </r>
      </text>
    </comment>
    <comment ref="F40" authorId="0" shapeId="0" xr:uid="{00000000-0006-0000-1000-000002000000}">
      <text>
        <r>
          <rPr>
            <sz val="8"/>
            <color indexed="81"/>
            <rFont val="Tahoma"/>
            <family val="2"/>
          </rPr>
          <t>Includes Capital Lease from Presentation</t>
        </r>
      </text>
    </comment>
    <comment ref="G40" authorId="0" shapeId="0" xr:uid="{00000000-0006-0000-1000-000003000000}">
      <text>
        <r>
          <rPr>
            <sz val="8"/>
            <color indexed="81"/>
            <rFont val="Tahoma"/>
            <family val="2"/>
          </rPr>
          <t>Includes Capital Lease from Presentation</t>
        </r>
      </text>
    </comment>
    <comment ref="R40" authorId="1" shapeId="0" xr:uid="{00000000-0006-0000-1000-000004000000}">
      <text>
        <r>
          <rPr>
            <sz val="8"/>
            <color indexed="81"/>
            <rFont val="Tahoma"/>
            <family val="2"/>
          </rPr>
          <t>Adjusted for notes payable $8.707 as of 3/31/2017
Details as of 12/31/2016 not available</t>
        </r>
      </text>
    </comment>
    <comment ref="R41" authorId="1" shapeId="0" xr:uid="{00000000-0006-0000-1000-000005000000}">
      <text>
        <r>
          <rPr>
            <sz val="8"/>
            <color indexed="81"/>
            <rFont val="Tahoma"/>
            <family val="2"/>
          </rPr>
          <t>Add back unamortized discount and lender fees $20.712 as of 3/31/2017
Details as of 12/31/2016 not available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Parikshit Marathe</author>
  </authors>
  <commentList>
    <comment ref="A42" authorId="0" shapeId="0" xr:uid="{00000000-0006-0000-1200-000001000000}">
      <text>
        <r>
          <rPr>
            <sz val="8"/>
            <color indexed="81"/>
            <rFont val="Tahoma"/>
            <family val="2"/>
          </rPr>
          <t>Book value of equity</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P26" authorId="0" shapeId="0" xr:uid="{00000000-0006-0000-1300-000001000000}">
      <text>
        <r>
          <rPr>
            <sz val="8"/>
            <color indexed="81"/>
            <rFont val="Tahoma"/>
            <family val="2"/>
          </rPr>
          <t>Facet and Multisorb EBITDA</t>
        </r>
      </text>
    </comment>
    <comment ref="P39" authorId="0" shapeId="0" xr:uid="{00000000-0006-0000-1300-000002000000}">
      <text>
        <r>
          <rPr>
            <sz val="8"/>
            <color indexed="81"/>
            <rFont val="Tahoma"/>
            <family val="2"/>
          </rPr>
          <t>PF</t>
        </r>
      </text>
    </comment>
    <comment ref="P40" authorId="0" shapeId="0" xr:uid="{00000000-0006-0000-1300-000003000000}">
      <text>
        <r>
          <rPr>
            <sz val="8"/>
            <color indexed="81"/>
            <rFont val="Tahoma"/>
            <family val="2"/>
          </rPr>
          <t>PF</t>
        </r>
      </text>
    </comment>
    <comment ref="P41" authorId="0" shapeId="0" xr:uid="{00000000-0006-0000-1300-000004000000}">
      <text>
        <r>
          <rPr>
            <sz val="8"/>
            <color indexed="81"/>
            <rFont val="Tahoma"/>
            <family val="2"/>
          </rPr>
          <t>PF</t>
        </r>
      </text>
    </comment>
    <comment ref="P44" authorId="0" shapeId="0" xr:uid="{00000000-0006-0000-1300-000005000000}">
      <text>
        <r>
          <rPr>
            <sz val="8"/>
            <color indexed="81"/>
            <rFont val="Tahoma"/>
            <family val="2"/>
          </rPr>
          <t>PF</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Deepak Rawat</author>
    <author>Parikshit Marathe</author>
  </authors>
  <commentList>
    <comment ref="B26" authorId="0" shapeId="0" xr:uid="{8EB8A94D-A981-450F-88B9-F64ED07E0355}">
      <text>
        <r>
          <rPr>
            <sz val="9"/>
            <color indexed="81"/>
            <rFont val="Tahoma"/>
            <family val="2"/>
          </rPr>
          <t>Sourced from Presentation (IR)</t>
        </r>
      </text>
    </comment>
    <comment ref="C26" authorId="0" shapeId="0" xr:uid="{0C0D43DE-65E5-4FED-9F1C-6AEAB9BB6C82}">
      <text>
        <r>
          <rPr>
            <sz val="9"/>
            <color indexed="81"/>
            <rFont val="Tahoma"/>
            <family val="2"/>
          </rPr>
          <t>Sourced from Presentation (IR)</t>
        </r>
      </text>
    </comment>
    <comment ref="D26" authorId="0" shapeId="0" xr:uid="{7C06D65B-854B-449B-A5C2-A5180555BAE0}">
      <text>
        <r>
          <rPr>
            <sz val="9"/>
            <color indexed="81"/>
            <rFont val="Tahoma"/>
            <family val="2"/>
          </rPr>
          <t>Sourced from Presentation (IR)</t>
        </r>
      </text>
    </comment>
    <comment ref="E26" authorId="0" shapeId="0" xr:uid="{D9B02933-9CEE-4528-8332-83FD35DF3318}">
      <text>
        <r>
          <rPr>
            <sz val="9"/>
            <color indexed="81"/>
            <rFont val="Tahoma"/>
            <family val="2"/>
          </rPr>
          <t>Assumed to be the same (converted to 3 quarters)
Check presentation from next quarter (IR)</t>
        </r>
      </text>
    </comment>
    <comment ref="H26" authorId="0" shapeId="0" xr:uid="{00000000-0006-0000-1400-000001000000}">
      <text>
        <r>
          <rPr>
            <sz val="8"/>
            <color indexed="81"/>
            <rFont val="Tahoma"/>
            <family val="2"/>
          </rPr>
          <t>3 months impact</t>
        </r>
      </text>
    </comment>
    <comment ref="I26" authorId="0" shapeId="0" xr:uid="{00000000-0006-0000-1400-000002000000}">
      <text>
        <r>
          <rPr>
            <sz val="8"/>
            <color indexed="81"/>
            <rFont val="Tahoma"/>
            <family val="2"/>
          </rPr>
          <t>6 months impact</t>
        </r>
      </text>
    </comment>
    <comment ref="J26" authorId="0" shapeId="0" xr:uid="{00000000-0006-0000-1400-000003000000}">
      <text>
        <r>
          <rPr>
            <sz val="8"/>
            <color indexed="81"/>
            <rFont val="Tahoma"/>
            <family val="2"/>
          </rPr>
          <t>9 months impact</t>
        </r>
      </text>
    </comment>
    <comment ref="K26" authorId="0" shapeId="0" xr:uid="{00000000-0006-0000-1400-000004000000}">
      <text>
        <r>
          <rPr>
            <sz val="8"/>
            <color indexed="81"/>
            <rFont val="Tahoma"/>
            <family val="2"/>
          </rPr>
          <t>Source: April 2019 Presentation</t>
        </r>
      </text>
    </comment>
    <comment ref="B35" authorId="0" shapeId="0" xr:uid="{33EB1639-A936-461C-9B63-83698E2B5346}">
      <text>
        <r>
          <rPr>
            <sz val="9"/>
            <color indexed="81"/>
            <rFont val="Tahoma"/>
            <family val="2"/>
          </rPr>
          <t>Sourced from Presentation (IR)</t>
        </r>
      </text>
    </comment>
    <comment ref="C35" authorId="0" shapeId="0" xr:uid="{EA1FD44F-DF91-41D6-8D4D-0D969DE8B9D2}">
      <text>
        <r>
          <rPr>
            <sz val="9"/>
            <color indexed="81"/>
            <rFont val="Tahoma"/>
            <family val="2"/>
          </rPr>
          <t>Sourced from Presentation (IR)</t>
        </r>
      </text>
    </comment>
    <comment ref="F35" authorId="0" shapeId="0" xr:uid="{1F396664-5047-429C-8A40-A2B99D258C90}">
      <text>
        <r>
          <rPr>
            <sz val="9"/>
            <color indexed="81"/>
            <rFont val="Tahoma"/>
            <family val="2"/>
          </rPr>
          <t>Sourced from Presentation (IR)</t>
        </r>
      </text>
    </comment>
    <comment ref="B36" authorId="0" shapeId="0" xr:uid="{DCAE1713-6490-4D18-9E6C-8EA0DD943594}">
      <text>
        <r>
          <rPr>
            <sz val="9"/>
            <color indexed="81"/>
            <rFont val="Tahoma"/>
            <family val="2"/>
          </rPr>
          <t>Sourced from Presentation (IR)</t>
        </r>
      </text>
    </comment>
    <comment ref="F36" authorId="0" shapeId="0" xr:uid="{5BBBBFA9-B21F-498C-8D02-77016B87360F}">
      <text>
        <r>
          <rPr>
            <sz val="9"/>
            <color indexed="81"/>
            <rFont val="Tahoma"/>
            <family val="2"/>
          </rPr>
          <t>Sourced from Presentation (IR)</t>
        </r>
      </text>
    </comment>
    <comment ref="J39" authorId="0" shapeId="0" xr:uid="{00000000-0006-0000-1400-000005000000}">
      <text>
        <r>
          <rPr>
            <sz val="8"/>
            <color indexed="81"/>
            <rFont val="Tahoma"/>
            <family val="2"/>
          </rPr>
          <t xml:space="preserve">$419.7 repaid from </t>
        </r>
        <r>
          <rPr>
            <b/>
            <sz val="8"/>
            <color indexed="81"/>
            <rFont val="Tahoma"/>
            <family val="2"/>
          </rPr>
          <t>USD</t>
        </r>
        <r>
          <rPr>
            <sz val="8"/>
            <color indexed="81"/>
            <rFont val="Tahoma"/>
            <family val="2"/>
          </rPr>
          <t xml:space="preserve"> $600mm senior unsecured notes raised</t>
        </r>
      </text>
    </comment>
    <comment ref="L39" authorId="0" shapeId="0" xr:uid="{00000000-0006-0000-1400-000006000000}">
      <text>
        <r>
          <rPr>
            <sz val="8"/>
            <color indexed="81"/>
            <rFont val="Tahoma"/>
            <family val="2"/>
          </rPr>
          <t>Pro Forma</t>
        </r>
      </text>
    </comment>
    <comment ref="M39" authorId="0" shapeId="0" xr:uid="{00000000-0006-0000-1400-000007000000}">
      <text>
        <r>
          <rPr>
            <sz val="8"/>
            <color indexed="81"/>
            <rFont val="Tahoma"/>
            <family val="2"/>
          </rPr>
          <t>Pro Forma</t>
        </r>
      </text>
    </comment>
    <comment ref="L40" authorId="0" shapeId="0" xr:uid="{00000000-0006-0000-1400-000008000000}">
      <text>
        <r>
          <rPr>
            <sz val="8"/>
            <color indexed="81"/>
            <rFont val="Tahoma"/>
            <family val="2"/>
          </rPr>
          <t>Pro Forma</t>
        </r>
      </text>
    </comment>
    <comment ref="M40" authorId="0" shapeId="0" xr:uid="{00000000-0006-0000-1400-000009000000}">
      <text>
        <r>
          <rPr>
            <sz val="8"/>
            <color indexed="81"/>
            <rFont val="Tahoma"/>
            <family val="2"/>
          </rPr>
          <t>Pro Forma</t>
        </r>
      </text>
    </comment>
    <comment ref="F41" authorId="0" shapeId="0" xr:uid="{42383517-855C-45A7-991D-1B6612CBB918}">
      <text>
        <r>
          <rPr>
            <sz val="9"/>
            <color indexed="81"/>
            <rFont val="Tahoma"/>
            <family val="2"/>
          </rPr>
          <t>PF</t>
        </r>
      </text>
    </comment>
    <comment ref="J41" authorId="0" shapeId="0" xr:uid="{00000000-0006-0000-1400-00000A000000}">
      <text>
        <r>
          <rPr>
            <b/>
            <sz val="8"/>
            <color indexed="81"/>
            <rFont val="Tahoma"/>
            <family val="2"/>
          </rPr>
          <t>USD</t>
        </r>
        <r>
          <rPr>
            <sz val="8"/>
            <color indexed="81"/>
            <rFont val="Tahoma"/>
            <family val="2"/>
          </rPr>
          <t xml:space="preserve"> $600mm senior unsecured notes raised</t>
        </r>
      </text>
    </comment>
    <comment ref="L41" authorId="0" shapeId="0" xr:uid="{00000000-0006-0000-1400-00000B000000}">
      <text>
        <r>
          <rPr>
            <sz val="8"/>
            <color indexed="81"/>
            <rFont val="Tahoma"/>
            <family val="2"/>
          </rPr>
          <t>Pro Forma</t>
        </r>
      </text>
    </comment>
    <comment ref="M41" authorId="0" shapeId="0" xr:uid="{00000000-0006-0000-1400-00000C000000}">
      <text>
        <r>
          <rPr>
            <sz val="8"/>
            <color indexed="81"/>
            <rFont val="Tahoma"/>
            <family val="2"/>
          </rPr>
          <t>Pro Forma</t>
        </r>
      </text>
    </comment>
    <comment ref="AA41" authorId="0" shapeId="0" xr:uid="{00000000-0006-0000-1400-00000D000000}">
      <text>
        <r>
          <rPr>
            <sz val="8"/>
            <color indexed="81"/>
            <rFont val="Tahoma"/>
            <family val="2"/>
          </rPr>
          <t>USD to CAD as on 12/31/20</t>
        </r>
      </text>
    </comment>
    <comment ref="A42" authorId="1" shapeId="0" xr:uid="{00000000-0006-0000-1400-00000E000000}">
      <text>
        <r>
          <rPr>
            <sz val="8"/>
            <color indexed="81"/>
            <rFont val="Tahoma"/>
            <family val="2"/>
          </rPr>
          <t>Source: York Model</t>
        </r>
      </text>
    </comment>
    <comment ref="L42" authorId="0" shapeId="0" xr:uid="{00000000-0006-0000-1400-00000F000000}">
      <text>
        <r>
          <rPr>
            <sz val="8"/>
            <color indexed="81"/>
            <rFont val="Tahoma"/>
            <family val="2"/>
          </rPr>
          <t>Pro Forma</t>
        </r>
      </text>
    </comment>
    <comment ref="M42" authorId="0" shapeId="0" xr:uid="{00000000-0006-0000-1400-000010000000}">
      <text>
        <r>
          <rPr>
            <sz val="8"/>
            <color indexed="81"/>
            <rFont val="Tahoma"/>
            <family val="2"/>
          </rPr>
          <t>Pro Forma</t>
        </r>
      </text>
    </comment>
    <comment ref="J44" authorId="0" shapeId="0" xr:uid="{00000000-0006-0000-1400-000011000000}">
      <text>
        <r>
          <rPr>
            <sz val="8"/>
            <color indexed="81"/>
            <rFont val="Tahoma"/>
            <family val="2"/>
          </rPr>
          <t xml:space="preserve">Balance of $180.3mm transferred to cash from </t>
        </r>
        <r>
          <rPr>
            <b/>
            <sz val="8"/>
            <color indexed="81"/>
            <rFont val="Tahoma"/>
            <family val="2"/>
          </rPr>
          <t xml:space="preserve">USD </t>
        </r>
        <r>
          <rPr>
            <sz val="8"/>
            <color indexed="81"/>
            <rFont val="Tahoma"/>
            <family val="2"/>
          </rPr>
          <t>$600mm senior unsecured notes raised</t>
        </r>
      </text>
    </comment>
    <comment ref="L44" authorId="0" shapeId="0" xr:uid="{00000000-0006-0000-1400-000012000000}">
      <text>
        <r>
          <rPr>
            <sz val="8"/>
            <color indexed="81"/>
            <rFont val="Tahoma"/>
            <family val="2"/>
          </rPr>
          <t>Pro Forma</t>
        </r>
      </text>
    </comment>
    <comment ref="M44" authorId="0" shapeId="0" xr:uid="{00000000-0006-0000-1400-000013000000}">
      <text>
        <r>
          <rPr>
            <sz val="8"/>
            <color indexed="81"/>
            <rFont val="Tahoma"/>
            <family val="2"/>
          </rPr>
          <t>Pro Forma</t>
        </r>
      </text>
    </comment>
    <comment ref="I46" authorId="0" shapeId="0" xr:uid="{00000000-0006-0000-1400-000014000000}">
      <text>
        <r>
          <rPr>
            <sz val="8"/>
            <color indexed="81"/>
            <rFont val="Tahoma"/>
            <family val="2"/>
          </rPr>
          <t>3 Quarters Annualized</t>
        </r>
      </text>
    </comment>
    <comment ref="J46" authorId="0" shapeId="0" xr:uid="{00000000-0006-0000-1400-000015000000}">
      <text>
        <r>
          <rPr>
            <sz val="8"/>
            <color indexed="81"/>
            <rFont val="Tahoma"/>
            <family val="2"/>
          </rPr>
          <t>Since Acquisition closed on 14th of November (7.5 months impact)</t>
        </r>
      </text>
    </comment>
    <comment ref="K46" authorId="0" shapeId="0" xr:uid="{00000000-0006-0000-1400-000016000000}">
      <text>
        <r>
          <rPr>
            <sz val="8"/>
            <color indexed="81"/>
            <rFont val="Tahoma"/>
            <family val="2"/>
          </rPr>
          <t>Since Acquisition closed on 14th of November (10.5 months impact)</t>
        </r>
      </text>
    </comment>
    <comment ref="M46" authorId="0" shapeId="0" xr:uid="{00000000-0006-0000-1400-000017000000}">
      <text>
        <r>
          <rPr>
            <sz val="8"/>
            <color indexed="81"/>
            <rFont val="Tahoma"/>
            <family val="2"/>
          </rPr>
          <t>ProForma</t>
        </r>
      </text>
    </comment>
    <comment ref="M47" authorId="0" shapeId="0" xr:uid="{00000000-0006-0000-1400-000018000000}">
      <text>
        <r>
          <rPr>
            <sz val="8"/>
            <color indexed="81"/>
            <rFont val="Tahoma"/>
            <family val="2"/>
          </rPr>
          <t>ProForma</t>
        </r>
      </text>
    </comment>
    <comment ref="M48" authorId="0" shapeId="0" xr:uid="{00000000-0006-0000-1400-000019000000}">
      <text>
        <r>
          <rPr>
            <sz val="8"/>
            <color indexed="81"/>
            <rFont val="Tahoma"/>
            <family val="2"/>
          </rPr>
          <t>PF FCF post growth capex
Source: York Model</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D40" authorId="0" shapeId="0" xr:uid="{F04637F5-976C-461A-8BF1-022A20DBD3DC}">
      <text>
        <r>
          <rPr>
            <sz val="9"/>
            <color indexed="81"/>
            <rFont val="Tahoma"/>
            <family val="2"/>
          </rPr>
          <t>PF for repayment of $150.0mm aggregate principal amount of secured term loan with cash on hand</t>
        </r>
      </text>
    </comment>
    <comment ref="E40" authorId="0" shapeId="0" xr:uid="{7F2B9BA7-76D2-4111-B89A-1706C9416AA8}">
      <text>
        <r>
          <rPr>
            <sz val="9"/>
            <color indexed="81"/>
            <rFont val="Tahoma"/>
            <family val="2"/>
          </rPr>
          <t>PF for repayment of $60.0mm of term loan in Oct 20</t>
        </r>
      </text>
    </comment>
    <comment ref="D44" authorId="0" shapeId="0" xr:uid="{827C6419-304F-4F3E-8ACB-28EF52050E1D}">
      <text>
        <r>
          <rPr>
            <sz val="9"/>
            <color indexed="81"/>
            <rFont val="Tahoma"/>
            <family val="2"/>
          </rPr>
          <t>PF for repayment of $150.0mm aggregate principal amount of secured term loan with cash on hand</t>
        </r>
      </text>
    </comment>
    <comment ref="E44" authorId="0" shapeId="0" xr:uid="{89C4F3CC-E703-45DC-86C5-E80BA7844A3E}">
      <text>
        <r>
          <rPr>
            <sz val="9"/>
            <color indexed="81"/>
            <rFont val="Tahoma"/>
            <family val="2"/>
          </rPr>
          <t>PF for repayment of $60.0mm of term loan in Oct 20</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Deepak Rawat</author>
    <author>Parikshit Marathe</author>
  </authors>
  <commentList>
    <comment ref="B16" authorId="0" shapeId="0" xr:uid="{880CFF2C-058B-4722-B4E3-4369C030CE8D}">
      <text>
        <r>
          <rPr>
            <sz val="9"/>
            <color indexed="81"/>
            <rFont val="Tahoma"/>
            <family val="2"/>
          </rPr>
          <t>Restated including M-T-M adjustment</t>
        </r>
      </text>
    </comment>
    <comment ref="F16" authorId="0" shapeId="0" xr:uid="{DD636C51-E904-4A7A-AEEA-545B362836A0}">
      <text>
        <r>
          <rPr>
            <sz val="9"/>
            <color indexed="81"/>
            <rFont val="Tahoma"/>
            <family val="2"/>
          </rPr>
          <t>Restated including M-T-M adjustment</t>
        </r>
      </text>
    </comment>
    <comment ref="A26" authorId="1" shapeId="0" xr:uid="{00000000-0006-0000-1600-000001000000}">
      <text>
        <r>
          <rPr>
            <sz val="8"/>
            <color indexed="81"/>
            <rFont val="Tahoma"/>
            <family val="2"/>
          </rPr>
          <t>MtM adjustment
Mkt vlue of inv in excess of cost</t>
        </r>
      </text>
    </comment>
    <comment ref="B26" authorId="0" shapeId="0" xr:uid="{3A9C4F95-7B6F-4112-824B-B36A108A5F6B}">
      <text>
        <r>
          <rPr>
            <sz val="9"/>
            <color indexed="81"/>
            <rFont val="Tahoma"/>
            <family val="2"/>
          </rPr>
          <t>Assumed to be the same due to lack of information
MtM adjustment included in Cash EBITDA</t>
        </r>
      </text>
    </comment>
    <comment ref="A27" authorId="1" shapeId="0" xr:uid="{00000000-0006-0000-1600-000002000000}">
      <text>
        <r>
          <rPr>
            <sz val="8"/>
            <color indexed="81"/>
            <rFont val="Tahoma"/>
            <family val="2"/>
          </rPr>
          <t>LTM EBITDA
Less
MtM adjustment
Mkt vlue of inv in excess of cost</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Deepak Rawat</author>
    <author>Parikshit Marathe</author>
  </authors>
  <commentList>
    <comment ref="G12" authorId="0" shapeId="0" xr:uid="{00000000-0006-0000-1700-000001000000}">
      <text>
        <r>
          <rPr>
            <sz val="8"/>
            <color indexed="81"/>
            <rFont val="Tahoma"/>
            <family val="2"/>
          </rPr>
          <t>PF</t>
        </r>
      </text>
    </comment>
    <comment ref="H12" authorId="0" shapeId="0" xr:uid="{00000000-0006-0000-1700-000002000000}">
      <text>
        <r>
          <rPr>
            <sz val="8"/>
            <color indexed="81"/>
            <rFont val="Tahoma"/>
            <family val="2"/>
          </rPr>
          <t>PF</t>
        </r>
      </text>
    </comment>
    <comment ref="I12" authorId="0" shapeId="0" xr:uid="{00000000-0006-0000-1700-000003000000}">
      <text>
        <r>
          <rPr>
            <sz val="8"/>
            <color indexed="81"/>
            <rFont val="Tahoma"/>
            <family val="2"/>
          </rPr>
          <t>PF</t>
        </r>
      </text>
    </comment>
    <comment ref="J12" authorId="0" shapeId="0" xr:uid="{00000000-0006-0000-1700-000004000000}">
      <text>
        <r>
          <rPr>
            <sz val="8"/>
            <color indexed="81"/>
            <rFont val="Tahoma"/>
            <family val="2"/>
          </rPr>
          <t>PF</t>
        </r>
      </text>
    </comment>
    <comment ref="A16" authorId="1" shapeId="0" xr:uid="{00000000-0006-0000-1700-000005000000}">
      <text>
        <r>
          <rPr>
            <sz val="8"/>
            <color indexed="81"/>
            <rFont val="Tahoma"/>
            <family val="2"/>
          </rPr>
          <t>Adjusted operating income (loss), excluding unusual items
+ Depreciation
+ Amortization</t>
        </r>
      </text>
    </comment>
    <comment ref="B26" authorId="0" shapeId="0" xr:uid="{A5A7CFD4-D92B-4666-81A6-A0907EA7CEA2}">
      <text>
        <r>
          <rPr>
            <sz val="9"/>
            <color indexed="81"/>
            <rFont val="Tahoma"/>
            <family val="2"/>
          </rPr>
          <t>Assumed to be the same</t>
        </r>
      </text>
    </comment>
    <comment ref="C26" authorId="0" shapeId="0" xr:uid="{B0BCBF11-4F87-431C-BB9D-24577553E2A8}">
      <text>
        <r>
          <rPr>
            <sz val="9"/>
            <color indexed="81"/>
            <rFont val="Tahoma"/>
            <family val="2"/>
          </rPr>
          <t>Covenant Report</t>
        </r>
      </text>
    </comment>
    <comment ref="E26" authorId="0" shapeId="0" xr:uid="{3414F3DC-2B1D-4662-A9CE-58DE824BF723}">
      <text>
        <r>
          <rPr>
            <sz val="9"/>
            <color indexed="81"/>
            <rFont val="Tahoma"/>
            <family val="2"/>
          </rPr>
          <t>Assumed to be the same due to lack of information</t>
        </r>
      </text>
    </comment>
    <comment ref="F26" authorId="0" shapeId="0" xr:uid="{DA00D282-7B8B-4AEA-A758-030F698ADD82}">
      <text>
        <r>
          <rPr>
            <sz val="9"/>
            <color indexed="81"/>
            <rFont val="Tahoma"/>
            <family val="2"/>
          </rPr>
          <t>Reverse calculated based on June 30th LTM Net Leverage of 3.9x</t>
        </r>
      </text>
    </comment>
    <comment ref="G26" authorId="0" shapeId="0" xr:uid="{00000000-0006-0000-1700-000006000000}">
      <text>
        <r>
          <rPr>
            <sz val="9"/>
            <color indexed="81"/>
            <rFont val="Tahoma"/>
            <family val="2"/>
          </rPr>
          <t>Harsco Clean Earth 3 months converted from 6 months from Dec 2019 8-K</t>
        </r>
      </text>
    </comment>
    <comment ref="I26" authorId="0" shapeId="0" xr:uid="{00000000-0006-0000-1700-000007000000}">
      <text>
        <r>
          <rPr>
            <sz val="8"/>
            <color indexed="81"/>
            <rFont val="Tahoma"/>
            <family val="2"/>
          </rPr>
          <t xml:space="preserve">Calculated based on 2.2x net leverage figure from 8-k adjusting for Air-X-Changers Sale and Clean Earth Acquisition </t>
        </r>
      </text>
    </comment>
    <comment ref="B36" authorId="0" shapeId="0" xr:uid="{70832BD2-F248-42FE-A2F8-72BB8E03FB71}">
      <text>
        <r>
          <rPr>
            <sz val="9"/>
            <color indexed="81"/>
            <rFont val="Tahoma"/>
            <family val="2"/>
          </rPr>
          <t>Adjusted numbers from presentation</t>
        </r>
      </text>
    </comment>
    <comment ref="C36" authorId="0" shapeId="0" xr:uid="{AE0B1EF4-BA4C-4BB4-BDCB-D20DEAF1E119}">
      <text>
        <r>
          <rPr>
            <sz val="9"/>
            <color indexed="81"/>
            <rFont val="Tahoma"/>
            <family val="2"/>
          </rPr>
          <t>Adjusted numbers from presentation</t>
        </r>
      </text>
    </comment>
    <comment ref="F36" authorId="0" shapeId="0" xr:uid="{D33D5C72-11A2-41F2-95FB-F5F2BDDF6A8F}">
      <text>
        <r>
          <rPr>
            <sz val="9"/>
            <color indexed="81"/>
            <rFont val="Tahoma"/>
            <family val="2"/>
          </rPr>
          <t>Adjusted numbers from presentation</t>
        </r>
      </text>
    </comment>
    <comment ref="G36" authorId="0" shapeId="0" xr:uid="{4717143D-1D3C-4AD5-BCA6-D9FC6354FF7B}">
      <text>
        <r>
          <rPr>
            <sz val="9"/>
            <color indexed="81"/>
            <rFont val="Tahoma"/>
            <family val="2"/>
          </rPr>
          <t>Adjusted numbers from presentation</t>
        </r>
      </text>
    </comment>
    <comment ref="B37" authorId="0" shapeId="0" xr:uid="{6791B020-F94B-4173-B428-619DBD3CB86B}">
      <text>
        <r>
          <rPr>
            <sz val="9"/>
            <color indexed="81"/>
            <rFont val="Tahoma"/>
            <family val="2"/>
          </rPr>
          <t>Adjusted numbers from presentation</t>
        </r>
      </text>
    </comment>
    <comment ref="C37" authorId="0" shapeId="0" xr:uid="{E1D44270-7335-4878-9E41-9D9BAF3C6705}">
      <text>
        <r>
          <rPr>
            <sz val="9"/>
            <color indexed="81"/>
            <rFont val="Tahoma"/>
            <family val="2"/>
          </rPr>
          <t>Adjusted numbers from presentation</t>
        </r>
      </text>
    </comment>
    <comment ref="F37" authorId="0" shapeId="0" xr:uid="{26A7E1E2-CC9F-4992-9C43-F926841EC44C}">
      <text>
        <r>
          <rPr>
            <sz val="9"/>
            <color indexed="81"/>
            <rFont val="Tahoma"/>
            <family val="2"/>
          </rPr>
          <t>Adjusted numbers from presentation</t>
        </r>
      </text>
    </comment>
    <comment ref="G37" authorId="0" shapeId="0" xr:uid="{9FC6B1DC-110A-4278-ADF3-A1315A1D9DF1}">
      <text>
        <r>
          <rPr>
            <sz val="9"/>
            <color indexed="81"/>
            <rFont val="Tahoma"/>
            <family val="2"/>
          </rPr>
          <t>Adjusted numbers from presentation</t>
        </r>
      </text>
    </comment>
    <comment ref="J40" authorId="0" shapeId="0" xr:uid="{00000000-0006-0000-1700-000008000000}">
      <text>
        <r>
          <rPr>
            <sz val="8"/>
            <color indexed="81"/>
            <rFont val="Tahoma"/>
            <family val="2"/>
          </rPr>
          <t>In July company made prepayment of $320.9mm on the $550.0mm Term Loan Facility</t>
        </r>
      </text>
    </comment>
    <comment ref="J52" authorId="0" shapeId="0" xr:uid="{00000000-0006-0000-1700-000009000000}">
      <text>
        <r>
          <rPr>
            <sz val="8"/>
            <color indexed="81"/>
            <rFont val="Tahoma"/>
            <family val="2"/>
          </rPr>
          <t xml:space="preserve">2.2x net leverage figure from 8-k adjusting for Air-X-Changers Sale (Pro Forma)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Deepak Rawat</author>
    <author>Parikshit Marathe</author>
  </authors>
  <commentList>
    <comment ref="B12" authorId="0" shapeId="0" xr:uid="{00000000-0006-0000-0100-000001000000}">
      <text>
        <r>
          <rPr>
            <sz val="8"/>
            <color indexed="81"/>
            <rFont val="Tahoma"/>
            <family val="2"/>
          </rPr>
          <t>Pro Forma</t>
        </r>
      </text>
    </comment>
    <comment ref="F12" authorId="0" shapeId="0" xr:uid="{00000000-0006-0000-0100-000002000000}">
      <text>
        <r>
          <rPr>
            <sz val="8"/>
            <color indexed="81"/>
            <rFont val="Tahoma"/>
            <family val="2"/>
          </rPr>
          <t>Pro Forma</t>
        </r>
      </text>
    </comment>
    <comment ref="B16" authorId="0" shapeId="0" xr:uid="{00000000-0006-0000-0100-000003000000}">
      <text>
        <r>
          <rPr>
            <sz val="8"/>
            <color indexed="81"/>
            <rFont val="Tahoma"/>
            <family val="2"/>
          </rPr>
          <t>Pro Forma</t>
        </r>
      </text>
    </comment>
    <comment ref="F16" authorId="0" shapeId="0" xr:uid="{00000000-0006-0000-0100-000004000000}">
      <text>
        <r>
          <rPr>
            <sz val="8"/>
            <color indexed="81"/>
            <rFont val="Tahoma"/>
            <family val="2"/>
          </rPr>
          <t>Pro Forma</t>
        </r>
      </text>
    </comment>
    <comment ref="B39" authorId="0" shapeId="0" xr:uid="{00000000-0006-0000-0100-000005000000}">
      <text>
        <r>
          <rPr>
            <sz val="8"/>
            <color indexed="81"/>
            <rFont val="Tahoma"/>
            <family val="2"/>
          </rPr>
          <t>Pro Forma</t>
        </r>
      </text>
    </comment>
    <comment ref="C39" authorId="0" shapeId="0" xr:uid="{00000000-0006-0000-0100-000006000000}">
      <text>
        <r>
          <rPr>
            <sz val="8"/>
            <color indexed="81"/>
            <rFont val="Tahoma"/>
            <family val="2"/>
          </rPr>
          <t>Pro Forma</t>
        </r>
      </text>
    </comment>
    <comment ref="B40" authorId="0" shapeId="0" xr:uid="{00000000-0006-0000-0100-000007000000}">
      <text>
        <r>
          <rPr>
            <sz val="8"/>
            <color indexed="81"/>
            <rFont val="Tahoma"/>
            <family val="2"/>
          </rPr>
          <t>Pro Forma</t>
        </r>
      </text>
    </comment>
    <comment ref="C40" authorId="0" shapeId="0" xr:uid="{00000000-0006-0000-0100-000008000000}">
      <text>
        <r>
          <rPr>
            <sz val="8"/>
            <color indexed="81"/>
            <rFont val="Tahoma"/>
            <family val="2"/>
          </rPr>
          <t>Pro Forma</t>
        </r>
      </text>
    </comment>
    <comment ref="B41" authorId="0" shapeId="0" xr:uid="{00000000-0006-0000-0100-000009000000}">
      <text>
        <r>
          <rPr>
            <sz val="8"/>
            <color indexed="81"/>
            <rFont val="Tahoma"/>
            <family val="2"/>
          </rPr>
          <t>Pro Forma</t>
        </r>
      </text>
    </comment>
    <comment ref="C41" authorId="0" shapeId="0" xr:uid="{00000000-0006-0000-0100-00000A000000}">
      <text>
        <r>
          <rPr>
            <sz val="8"/>
            <color indexed="81"/>
            <rFont val="Tahoma"/>
            <family val="2"/>
          </rPr>
          <t>Pro Forma</t>
        </r>
      </text>
    </comment>
    <comment ref="B44" authorId="0" shapeId="0" xr:uid="{00000000-0006-0000-0100-00000B000000}">
      <text>
        <r>
          <rPr>
            <sz val="8"/>
            <color indexed="81"/>
            <rFont val="Tahoma"/>
            <family val="2"/>
          </rPr>
          <t>Pro Forma</t>
        </r>
      </text>
    </comment>
    <comment ref="C44" authorId="0" shapeId="0" xr:uid="{00000000-0006-0000-0100-00000C000000}">
      <text>
        <r>
          <rPr>
            <sz val="8"/>
            <color indexed="81"/>
            <rFont val="Tahoma"/>
            <family val="2"/>
          </rPr>
          <t>Pro Forma</t>
        </r>
      </text>
    </comment>
    <comment ref="B46" authorId="1" shapeId="0" xr:uid="{00000000-0006-0000-0100-00000D000000}">
      <text>
        <r>
          <rPr>
            <sz val="8"/>
            <color indexed="81"/>
            <rFont val="Tahoma"/>
            <family val="2"/>
          </rPr>
          <t>PF Revenue
Source: Lender Presentation</t>
        </r>
      </text>
    </comment>
    <comment ref="C46" authorId="1" shapeId="0" xr:uid="{00000000-0006-0000-0100-00000E000000}">
      <text>
        <r>
          <rPr>
            <sz val="8"/>
            <color indexed="81"/>
            <rFont val="Tahoma"/>
            <family val="2"/>
          </rPr>
          <t>PF Revenue
Source: Lender Presentation</t>
        </r>
      </text>
    </comment>
    <comment ref="D46" authorId="1" shapeId="0" xr:uid="{00000000-0006-0000-0100-00000F000000}">
      <text>
        <r>
          <rPr>
            <sz val="8"/>
            <color indexed="81"/>
            <rFont val="Tahoma"/>
            <family val="2"/>
          </rPr>
          <t>PF Revenue
Source: Lender Presentation</t>
        </r>
      </text>
    </comment>
    <comment ref="E46" authorId="1" shapeId="0" xr:uid="{00000000-0006-0000-0100-000010000000}">
      <text>
        <r>
          <rPr>
            <sz val="8"/>
            <color indexed="81"/>
            <rFont val="Tahoma"/>
            <family val="2"/>
          </rPr>
          <t>PF Revenue
Source: Lender Presentation</t>
        </r>
      </text>
    </comment>
    <comment ref="F46" authorId="1" shapeId="0" xr:uid="{00000000-0006-0000-0100-000011000000}">
      <text>
        <r>
          <rPr>
            <sz val="8"/>
            <color indexed="81"/>
            <rFont val="Tahoma"/>
            <family val="2"/>
          </rPr>
          <t>PF Revenue
Source: Lender Presentation</t>
        </r>
      </text>
    </comment>
    <comment ref="I46" authorId="1" shapeId="0" xr:uid="{00000000-0006-0000-0100-000012000000}">
      <text>
        <r>
          <rPr>
            <sz val="8"/>
            <color indexed="81"/>
            <rFont val="Tahoma"/>
            <family val="2"/>
          </rPr>
          <t>PF Revenue
Source: Lender Presentation</t>
        </r>
      </text>
    </comment>
    <comment ref="B47" authorId="1" shapeId="0" xr:uid="{00000000-0006-0000-0100-000013000000}">
      <text>
        <r>
          <rPr>
            <sz val="8"/>
            <color indexed="81"/>
            <rFont val="Tahoma"/>
            <family val="2"/>
          </rPr>
          <t>PF EBITDA
Source: Lender Presentation</t>
        </r>
      </text>
    </comment>
    <comment ref="C47" authorId="1" shapeId="0" xr:uid="{00000000-0006-0000-0100-000014000000}">
      <text>
        <r>
          <rPr>
            <sz val="8"/>
            <color indexed="81"/>
            <rFont val="Tahoma"/>
            <family val="2"/>
          </rPr>
          <t>PF EBITDA
Source: Lender Presentation</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C13" authorId="0" shapeId="0" xr:uid="{CF0E2CC0-B8E5-490F-B834-A3B95A59A171}">
      <text>
        <r>
          <rPr>
            <sz val="9"/>
            <color indexed="81"/>
            <rFont val="Tahoma"/>
            <family val="2"/>
          </rPr>
          <t>PF</t>
        </r>
      </text>
    </comment>
    <comment ref="D13" authorId="0" shapeId="0" xr:uid="{DD5B24CF-7AA8-4051-BD7E-0F3BD3BC1AE7}">
      <text>
        <r>
          <rPr>
            <sz val="9"/>
            <color indexed="81"/>
            <rFont val="Tahoma"/>
            <family val="2"/>
          </rPr>
          <t>PF</t>
        </r>
      </text>
    </comment>
    <comment ref="E13" authorId="0" shapeId="0" xr:uid="{00000000-0006-0000-1900-000001000000}">
      <text>
        <r>
          <rPr>
            <sz val="9"/>
            <color indexed="81"/>
            <rFont val="Tahoma"/>
            <family val="2"/>
          </rPr>
          <t>PF</t>
        </r>
      </text>
    </comment>
    <comment ref="F13" authorId="0" shapeId="0" xr:uid="{00000000-0006-0000-1900-000002000000}">
      <text>
        <r>
          <rPr>
            <sz val="9"/>
            <color indexed="81"/>
            <rFont val="Tahoma"/>
            <family val="2"/>
          </rPr>
          <t>PF</t>
        </r>
      </text>
    </comment>
    <comment ref="E25" authorId="0" shapeId="0" xr:uid="{00000000-0006-0000-1900-000003000000}">
      <text>
        <r>
          <rPr>
            <sz val="8"/>
            <color indexed="81"/>
            <rFont val="Tahoma"/>
            <family val="2"/>
          </rPr>
          <t>Assumed to be the same due to lack of information</t>
        </r>
      </text>
    </comment>
    <comment ref="F25" authorId="0" shapeId="0" xr:uid="{9B50CD7B-2C17-42BB-B061-FE9413836877}">
      <text>
        <r>
          <rPr>
            <sz val="8"/>
            <color indexed="81"/>
            <rFont val="Tahoma"/>
            <family val="2"/>
          </rPr>
          <t>Assumed to be the same due to lack of information</t>
        </r>
      </text>
    </comment>
    <comment ref="G25" authorId="0" shapeId="0" xr:uid="{00000000-0006-0000-1900-000004000000}">
      <text>
        <r>
          <rPr>
            <sz val="8"/>
            <color indexed="81"/>
            <rFont val="Tahoma"/>
            <family val="2"/>
          </rPr>
          <t>Assumed to be the same due to lack of information</t>
        </r>
      </text>
    </comment>
    <comment ref="E26" authorId="0" shapeId="0" xr:uid="{00000000-0006-0000-1900-000005000000}">
      <text>
        <r>
          <rPr>
            <sz val="8"/>
            <color indexed="81"/>
            <rFont val="Tahoma"/>
            <family val="2"/>
          </rPr>
          <t>Assumed to be the same due to lack of information</t>
        </r>
      </text>
    </comment>
    <comment ref="F26" authorId="0" shapeId="0" xr:uid="{A6D3ADEF-9856-45B9-8B44-968724A9EB65}">
      <text>
        <r>
          <rPr>
            <sz val="8"/>
            <color indexed="81"/>
            <rFont val="Tahoma"/>
            <family val="2"/>
          </rPr>
          <t>Assumed to be the same due to lack of information</t>
        </r>
      </text>
    </comment>
    <comment ref="G26" authorId="0" shapeId="0" xr:uid="{00000000-0006-0000-1900-000006000000}">
      <text>
        <r>
          <rPr>
            <sz val="8"/>
            <color indexed="81"/>
            <rFont val="Tahoma"/>
            <family val="2"/>
          </rPr>
          <t>Assumed to be the same due to lack of information</t>
        </r>
      </text>
    </comment>
    <comment ref="G39" authorId="0" shapeId="0" xr:uid="{00000000-0006-0000-1900-000007000000}">
      <text>
        <r>
          <rPr>
            <sz val="8"/>
            <color indexed="81"/>
            <rFont val="Tahoma"/>
            <family val="2"/>
          </rPr>
          <t>PF</t>
        </r>
      </text>
    </comment>
    <comment ref="H39" authorId="0" shapeId="0" xr:uid="{00000000-0006-0000-1900-000008000000}">
      <text>
        <r>
          <rPr>
            <sz val="8"/>
            <color indexed="81"/>
            <rFont val="Tahoma"/>
            <family val="2"/>
          </rPr>
          <t>PF</t>
        </r>
      </text>
    </comment>
    <comment ref="J39" authorId="0" shapeId="0" xr:uid="{00000000-0006-0000-1900-000009000000}">
      <text>
        <r>
          <rPr>
            <sz val="8"/>
            <color indexed="81"/>
            <rFont val="Tahoma"/>
            <family val="2"/>
          </rPr>
          <t>PF</t>
        </r>
      </text>
    </comment>
    <comment ref="G40" authorId="0" shapeId="0" xr:uid="{00000000-0006-0000-1900-00000A000000}">
      <text>
        <r>
          <rPr>
            <sz val="8"/>
            <color indexed="81"/>
            <rFont val="Tahoma"/>
            <family val="2"/>
          </rPr>
          <t>PF</t>
        </r>
      </text>
    </comment>
    <comment ref="H40" authorId="0" shapeId="0" xr:uid="{00000000-0006-0000-1900-00000B000000}">
      <text>
        <r>
          <rPr>
            <sz val="8"/>
            <color indexed="81"/>
            <rFont val="Tahoma"/>
            <family val="2"/>
          </rPr>
          <t>PF</t>
        </r>
      </text>
    </comment>
    <comment ref="J40" authorId="0" shapeId="0" xr:uid="{00000000-0006-0000-1900-00000C000000}">
      <text>
        <r>
          <rPr>
            <sz val="8"/>
            <color indexed="81"/>
            <rFont val="Tahoma"/>
            <family val="2"/>
          </rPr>
          <t>PF</t>
        </r>
      </text>
    </comment>
    <comment ref="G41" authorId="0" shapeId="0" xr:uid="{00000000-0006-0000-1900-00000D000000}">
      <text>
        <r>
          <rPr>
            <sz val="8"/>
            <color indexed="81"/>
            <rFont val="Tahoma"/>
            <family val="2"/>
          </rPr>
          <t>PF</t>
        </r>
      </text>
    </comment>
    <comment ref="H41" authorId="0" shapeId="0" xr:uid="{00000000-0006-0000-1900-00000E000000}">
      <text>
        <r>
          <rPr>
            <sz val="8"/>
            <color indexed="81"/>
            <rFont val="Tahoma"/>
            <family val="2"/>
          </rPr>
          <t>PF</t>
        </r>
      </text>
    </comment>
    <comment ref="J41" authorId="0" shapeId="0" xr:uid="{00000000-0006-0000-1900-00000F000000}">
      <text>
        <r>
          <rPr>
            <sz val="8"/>
            <color indexed="81"/>
            <rFont val="Tahoma"/>
            <family val="2"/>
          </rPr>
          <t>PF</t>
        </r>
      </text>
    </comment>
    <comment ref="G42" authorId="0" shapeId="0" xr:uid="{00000000-0006-0000-1900-000010000000}">
      <text>
        <r>
          <rPr>
            <sz val="8"/>
            <color indexed="81"/>
            <rFont val="Tahoma"/>
            <family val="2"/>
          </rPr>
          <t>PF</t>
        </r>
      </text>
    </comment>
    <comment ref="H42" authorId="0" shapeId="0" xr:uid="{00000000-0006-0000-1900-000011000000}">
      <text>
        <r>
          <rPr>
            <sz val="8"/>
            <color indexed="81"/>
            <rFont val="Tahoma"/>
            <family val="2"/>
          </rPr>
          <t>PF</t>
        </r>
      </text>
    </comment>
    <comment ref="J42" authorId="0" shapeId="0" xr:uid="{00000000-0006-0000-1900-000012000000}">
      <text>
        <r>
          <rPr>
            <sz val="8"/>
            <color indexed="81"/>
            <rFont val="Tahoma"/>
            <family val="2"/>
          </rPr>
          <t>PF</t>
        </r>
      </text>
    </comment>
    <comment ref="G44" authorId="0" shapeId="0" xr:uid="{00000000-0006-0000-1900-000013000000}">
      <text>
        <r>
          <rPr>
            <sz val="8"/>
            <color indexed="81"/>
            <rFont val="Tahoma"/>
            <family val="2"/>
          </rPr>
          <t>PF</t>
        </r>
      </text>
    </comment>
    <comment ref="H44" authorId="0" shapeId="0" xr:uid="{00000000-0006-0000-1900-000014000000}">
      <text>
        <r>
          <rPr>
            <sz val="8"/>
            <color indexed="81"/>
            <rFont val="Tahoma"/>
            <family val="2"/>
          </rPr>
          <t>PF</t>
        </r>
      </text>
    </comment>
    <comment ref="J44" authorId="0" shapeId="0" xr:uid="{00000000-0006-0000-1900-000015000000}">
      <text>
        <r>
          <rPr>
            <sz val="8"/>
            <color indexed="81"/>
            <rFont val="Tahoma"/>
            <family val="2"/>
          </rPr>
          <t>PF</t>
        </r>
      </text>
    </comment>
    <comment ref="B46" authorId="0" shapeId="0" xr:uid="{1BEEBEA0-6CA1-482A-B743-B6E34B4508CF}">
      <text>
        <r>
          <rPr>
            <sz val="8"/>
            <color indexed="81"/>
            <rFont val="Tahoma"/>
            <family val="2"/>
          </rPr>
          <t>PF</t>
        </r>
      </text>
    </comment>
    <comment ref="C46" authorId="0" shapeId="0" xr:uid="{979705C1-08D1-4C49-8AA7-5450CE8B3029}">
      <text>
        <r>
          <rPr>
            <sz val="8"/>
            <color indexed="81"/>
            <rFont val="Tahoma"/>
            <family val="2"/>
          </rPr>
          <t>PF</t>
        </r>
      </text>
    </comment>
    <comment ref="D46" authorId="0" shapeId="0" xr:uid="{3BB2ACEB-C062-44A5-BB43-0EEC00343704}">
      <text>
        <r>
          <rPr>
            <sz val="8"/>
            <color indexed="81"/>
            <rFont val="Tahoma"/>
            <family val="2"/>
          </rPr>
          <t>PF</t>
        </r>
      </text>
    </comment>
    <comment ref="E46" authorId="0" shapeId="0" xr:uid="{1839F02D-BCAD-4E74-8943-F1614AA8D942}">
      <text>
        <r>
          <rPr>
            <sz val="8"/>
            <color indexed="81"/>
            <rFont val="Tahoma"/>
            <family val="2"/>
          </rPr>
          <t>PF</t>
        </r>
      </text>
    </comment>
    <comment ref="F46" authorId="0" shapeId="0" xr:uid="{042BB1A4-8E9E-4271-8947-BC532CA420F8}">
      <text>
        <r>
          <rPr>
            <sz val="8"/>
            <color indexed="81"/>
            <rFont val="Tahoma"/>
            <family val="2"/>
          </rPr>
          <t>PF</t>
        </r>
      </text>
    </comment>
    <comment ref="G46" authorId="0" shapeId="0" xr:uid="{CDD62975-19C7-43BB-AFBB-FF7F408D931C}">
      <text>
        <r>
          <rPr>
            <sz val="8"/>
            <color indexed="81"/>
            <rFont val="Tahoma"/>
            <family val="2"/>
          </rPr>
          <t>PF</t>
        </r>
      </text>
    </comment>
    <comment ref="H46" authorId="0" shapeId="0" xr:uid="{00000000-0006-0000-1900-000019000000}">
      <text>
        <r>
          <rPr>
            <sz val="8"/>
            <color indexed="81"/>
            <rFont val="Tahoma"/>
            <family val="2"/>
          </rPr>
          <t>PF</t>
        </r>
      </text>
    </comment>
    <comment ref="J46" authorId="0" shapeId="0" xr:uid="{00000000-0006-0000-1900-00001A000000}">
      <text>
        <r>
          <rPr>
            <sz val="8"/>
            <color indexed="81"/>
            <rFont val="Tahoma"/>
            <family val="2"/>
          </rPr>
          <t>PF</t>
        </r>
      </text>
    </comment>
    <comment ref="B47" authorId="0" shapeId="0" xr:uid="{48B3A849-7527-4DBE-B515-8B8ECEF03900}">
      <text>
        <r>
          <rPr>
            <sz val="8"/>
            <color indexed="81"/>
            <rFont val="Tahoma"/>
            <family val="2"/>
          </rPr>
          <t>PF</t>
        </r>
      </text>
    </comment>
    <comment ref="C47" authorId="0" shapeId="0" xr:uid="{60F27385-996F-4FA3-9815-7109D09DA479}">
      <text>
        <r>
          <rPr>
            <sz val="8"/>
            <color indexed="81"/>
            <rFont val="Tahoma"/>
            <family val="2"/>
          </rPr>
          <t>PF</t>
        </r>
      </text>
    </comment>
    <comment ref="D47" authorId="0" shapeId="0" xr:uid="{1377F9D5-415B-4CF9-BDAB-665FE35B2CAD}">
      <text>
        <r>
          <rPr>
            <sz val="8"/>
            <color indexed="81"/>
            <rFont val="Tahoma"/>
            <family val="2"/>
          </rPr>
          <t>PF</t>
        </r>
      </text>
    </comment>
    <comment ref="E47" authorId="0" shapeId="0" xr:uid="{00000000-0006-0000-1900-00001B000000}">
      <text>
        <r>
          <rPr>
            <sz val="8"/>
            <color indexed="81"/>
            <rFont val="Tahoma"/>
            <family val="2"/>
          </rPr>
          <t>PF</t>
        </r>
      </text>
    </comment>
    <comment ref="F47" authorId="0" shapeId="0" xr:uid="{00000000-0006-0000-1900-00001C000000}">
      <text>
        <r>
          <rPr>
            <sz val="8"/>
            <color indexed="81"/>
            <rFont val="Tahoma"/>
            <family val="2"/>
          </rPr>
          <t>PF</t>
        </r>
      </text>
    </comment>
    <comment ref="G47" authorId="0" shapeId="0" xr:uid="{00000000-0006-0000-1900-00001D000000}">
      <text>
        <r>
          <rPr>
            <sz val="8"/>
            <color indexed="81"/>
            <rFont val="Tahoma"/>
            <family val="2"/>
          </rPr>
          <t>PF</t>
        </r>
      </text>
    </comment>
    <comment ref="H47" authorId="0" shapeId="0" xr:uid="{00000000-0006-0000-1900-00001E000000}">
      <text>
        <r>
          <rPr>
            <sz val="8"/>
            <color indexed="81"/>
            <rFont val="Tahoma"/>
            <family val="2"/>
          </rPr>
          <t>PF</t>
        </r>
      </text>
    </comment>
    <comment ref="I47" authorId="0" shapeId="0" xr:uid="{00000000-0006-0000-1900-00001F000000}">
      <text>
        <r>
          <rPr>
            <sz val="8"/>
            <color indexed="81"/>
            <rFont val="Tahoma"/>
            <family val="2"/>
          </rPr>
          <t>PF</t>
        </r>
      </text>
    </comment>
    <comment ref="J47" authorId="0" shapeId="0" xr:uid="{00000000-0006-0000-1900-000020000000}">
      <text>
        <r>
          <rPr>
            <sz val="8"/>
            <color indexed="81"/>
            <rFont val="Tahoma"/>
            <family val="2"/>
          </rPr>
          <t>PF</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Parikshit Marathe</author>
    <author>Deepak Rawat</author>
  </authors>
  <commentList>
    <comment ref="A12" authorId="0" shapeId="0" xr:uid="{00000000-0006-0000-1C00-000001000000}">
      <text>
        <r>
          <rPr>
            <sz val="8"/>
            <color indexed="81"/>
            <rFont val="Tahoma"/>
            <family val="2"/>
          </rPr>
          <t>Energy Revenue
+ Capacity Revenue
+ Ancillary Services Revenue</t>
        </r>
      </text>
    </comment>
    <comment ref="O12" authorId="0" shapeId="0" xr:uid="{00000000-0006-0000-1C00-000002000000}">
      <text>
        <r>
          <rPr>
            <sz val="8"/>
            <color indexed="81"/>
            <rFont val="Tahoma"/>
            <family val="2"/>
          </rPr>
          <t>Energy Revenue
+ Capacity Revenue
+ Ancillary Services Revenue</t>
        </r>
      </text>
    </comment>
    <comment ref="A16" authorId="1" shapeId="0" xr:uid="{00000000-0006-0000-1C00-000003000000}">
      <text>
        <r>
          <rPr>
            <sz val="8"/>
            <color indexed="81"/>
            <rFont val="Tahoma"/>
            <family val="2"/>
          </rPr>
          <t>SYM or Financials</t>
        </r>
      </text>
    </comment>
    <comment ref="G25" authorId="1" shapeId="0" xr:uid="{00000000-0006-0000-1C00-000004000000}">
      <text>
        <r>
          <rPr>
            <sz val="8"/>
            <color indexed="81"/>
            <rFont val="Tahoma"/>
            <family val="2"/>
          </rPr>
          <t>Compliance Certificate</t>
        </r>
      </text>
    </comment>
    <comment ref="H25" authorId="1" shapeId="0" xr:uid="{00000000-0006-0000-1C00-000005000000}">
      <text>
        <r>
          <rPr>
            <sz val="8"/>
            <color indexed="81"/>
            <rFont val="Tahoma"/>
            <family val="2"/>
          </rPr>
          <t>Compliance Certificate</t>
        </r>
      </text>
    </comment>
    <comment ref="I25" authorId="1" shapeId="0" xr:uid="{00000000-0006-0000-1C00-000006000000}">
      <text>
        <r>
          <rPr>
            <sz val="8"/>
            <color indexed="81"/>
            <rFont val="Tahoma"/>
            <family val="2"/>
          </rPr>
          <t>Compliance Certificate</t>
        </r>
      </text>
    </comment>
    <comment ref="J25" authorId="1" shapeId="0" xr:uid="{00000000-0006-0000-1C00-000007000000}">
      <text>
        <r>
          <rPr>
            <sz val="8"/>
            <color indexed="81"/>
            <rFont val="Tahoma"/>
            <family val="2"/>
          </rPr>
          <t>Compliance Certificate</t>
        </r>
      </text>
    </comment>
    <comment ref="K25" authorId="1" shapeId="0" xr:uid="{00000000-0006-0000-1C00-000008000000}">
      <text>
        <r>
          <rPr>
            <sz val="8"/>
            <color indexed="81"/>
            <rFont val="Tahoma"/>
            <family val="2"/>
          </rPr>
          <t>Compliance Certificate</t>
        </r>
      </text>
    </comment>
    <comment ref="M39" authorId="1" shapeId="0" xr:uid="{00000000-0006-0000-1C00-000009000000}">
      <text>
        <r>
          <rPr>
            <sz val="8"/>
            <color indexed="81"/>
            <rFont val="Tahoma"/>
            <family val="2"/>
          </rPr>
          <t>Pro Forma 05/31/2018</t>
        </r>
      </text>
    </comment>
    <comment ref="N39" authorId="1" shapeId="0" xr:uid="{00000000-0006-0000-1C00-00000A000000}">
      <text>
        <r>
          <rPr>
            <sz val="8"/>
            <color indexed="81"/>
            <rFont val="Tahoma"/>
            <family val="2"/>
          </rPr>
          <t>Pro Forma 05/31/2018</t>
        </r>
      </text>
    </comment>
    <comment ref="O39" authorId="1" shapeId="0" xr:uid="{00000000-0006-0000-1C00-00000B000000}">
      <text>
        <r>
          <rPr>
            <sz val="8"/>
            <color indexed="81"/>
            <rFont val="Tahoma"/>
            <family val="2"/>
          </rPr>
          <t>Pro Forma</t>
        </r>
      </text>
    </comment>
    <comment ref="H40" authorId="1" shapeId="0" xr:uid="{00000000-0006-0000-1C00-00000C000000}">
      <text>
        <r>
          <rPr>
            <sz val="8"/>
            <color indexed="81"/>
            <rFont val="Tahoma"/>
            <family val="2"/>
          </rPr>
          <t>SYM - Includes TLC of $100.0mm and Excludes Restricted Cash for LC (TLC) of $100.0mm</t>
        </r>
      </text>
    </comment>
    <comment ref="I40" authorId="1" shapeId="0" xr:uid="{00000000-0006-0000-1C00-00000D000000}">
      <text>
        <r>
          <rPr>
            <sz val="8"/>
            <color indexed="81"/>
            <rFont val="Tahoma"/>
            <family val="2"/>
          </rPr>
          <t>SYM - Includes TLC of $100.0mm and Excludes Restricted Cash for LC (TLC) of $100.0mm</t>
        </r>
      </text>
    </comment>
    <comment ref="J40" authorId="1" shapeId="0" xr:uid="{00000000-0006-0000-1C00-00000E000000}">
      <text>
        <r>
          <rPr>
            <sz val="8"/>
            <color indexed="81"/>
            <rFont val="Tahoma"/>
            <family val="2"/>
          </rPr>
          <t>SYM - Includes TLC of $100.0mm and Excludes Restricted Cash for LC (TLC) of $100.0mm</t>
        </r>
      </text>
    </comment>
    <comment ref="K40" authorId="1" shapeId="0" xr:uid="{00000000-0006-0000-1C00-00000F000000}">
      <text>
        <r>
          <rPr>
            <sz val="8"/>
            <color indexed="81"/>
            <rFont val="Tahoma"/>
            <family val="2"/>
          </rPr>
          <t>SYM - Includes TLC of $100.0mm and Excludes Restricted Cash for LC (TLC) of $100.0mm</t>
        </r>
      </text>
    </comment>
    <comment ref="L40" authorId="1" shapeId="0" xr:uid="{00000000-0006-0000-1C00-000010000000}">
      <text>
        <r>
          <rPr>
            <sz val="8"/>
            <color indexed="81"/>
            <rFont val="Tahoma"/>
            <family val="2"/>
          </rPr>
          <t>SYM - Includes TLC of $100.0mm and Excludes Restricted Cash for LC (TLC) of $100.0mm</t>
        </r>
      </text>
    </comment>
    <comment ref="M40" authorId="1" shapeId="0" xr:uid="{00000000-0006-0000-1C00-000011000000}">
      <text>
        <r>
          <rPr>
            <sz val="8"/>
            <color indexed="81"/>
            <rFont val="Tahoma"/>
            <family val="2"/>
          </rPr>
          <t>Pro Forma 05/31/2018</t>
        </r>
      </text>
    </comment>
    <comment ref="N40" authorId="1" shapeId="0" xr:uid="{00000000-0006-0000-1C00-000012000000}">
      <text>
        <r>
          <rPr>
            <sz val="8"/>
            <color indexed="81"/>
            <rFont val="Tahoma"/>
            <family val="2"/>
          </rPr>
          <t>Pro Forma 05/31/2018</t>
        </r>
      </text>
    </comment>
    <comment ref="O40" authorId="1" shapeId="0" xr:uid="{00000000-0006-0000-1C00-000013000000}">
      <text>
        <r>
          <rPr>
            <sz val="8"/>
            <color indexed="81"/>
            <rFont val="Tahoma"/>
            <family val="2"/>
          </rPr>
          <t>Pro Forma</t>
        </r>
      </text>
    </comment>
    <comment ref="M41" authorId="1" shapeId="0" xr:uid="{00000000-0006-0000-1C00-000014000000}">
      <text>
        <r>
          <rPr>
            <sz val="8"/>
            <color indexed="81"/>
            <rFont val="Tahoma"/>
            <family val="2"/>
          </rPr>
          <t>Pro Forma 05/31/2018</t>
        </r>
      </text>
    </comment>
    <comment ref="N41" authorId="1" shapeId="0" xr:uid="{00000000-0006-0000-1C00-000015000000}">
      <text>
        <r>
          <rPr>
            <sz val="8"/>
            <color indexed="81"/>
            <rFont val="Tahoma"/>
            <family val="2"/>
          </rPr>
          <t>Pro Forma 05/31/2018</t>
        </r>
      </text>
    </comment>
    <comment ref="O41" authorId="1" shapeId="0" xr:uid="{00000000-0006-0000-1C00-000016000000}">
      <text>
        <r>
          <rPr>
            <sz val="8"/>
            <color indexed="81"/>
            <rFont val="Tahoma"/>
            <family val="2"/>
          </rPr>
          <t>Pro Forma</t>
        </r>
      </text>
    </comment>
    <comment ref="M44" authorId="1" shapeId="0" xr:uid="{00000000-0006-0000-1C00-000017000000}">
      <text>
        <r>
          <rPr>
            <sz val="8"/>
            <color indexed="81"/>
            <rFont val="Tahoma"/>
            <family val="2"/>
          </rPr>
          <t>Pro Forma 05/31/2018</t>
        </r>
      </text>
    </comment>
    <comment ref="N44" authorId="1" shapeId="0" xr:uid="{00000000-0006-0000-1C00-000018000000}">
      <text>
        <r>
          <rPr>
            <sz val="8"/>
            <color indexed="81"/>
            <rFont val="Tahoma"/>
            <family val="2"/>
          </rPr>
          <t>Pro Forma 05/31/2018</t>
        </r>
      </text>
    </comment>
    <comment ref="O44" authorId="1" shapeId="0" xr:uid="{00000000-0006-0000-1C00-000019000000}">
      <text>
        <r>
          <rPr>
            <sz val="8"/>
            <color indexed="81"/>
            <rFont val="Tahoma"/>
            <family val="2"/>
          </rPr>
          <t>Pro Forma</t>
        </r>
      </text>
    </comment>
    <comment ref="L46" authorId="1" shapeId="0" xr:uid="{00000000-0006-0000-1C00-00001A000000}">
      <text>
        <r>
          <rPr>
            <sz val="8"/>
            <color indexed="81"/>
            <rFont val="Tahoma"/>
            <family val="2"/>
          </rPr>
          <t>Assumed to be the same due to lack of information</t>
        </r>
      </text>
    </comment>
    <comment ref="L47" authorId="1" shapeId="0" xr:uid="{00000000-0006-0000-1C00-00001B000000}">
      <text>
        <r>
          <rPr>
            <sz val="8"/>
            <color indexed="81"/>
            <rFont val="Tahoma"/>
            <family val="2"/>
          </rPr>
          <t>Assumed to be the same due to lack of information</t>
        </r>
      </text>
    </comment>
    <comment ref="M47" authorId="1" shapeId="0" xr:uid="{00000000-0006-0000-1C00-00001C000000}">
      <text>
        <r>
          <rPr>
            <sz val="8"/>
            <color indexed="81"/>
            <rFont val="Tahoma"/>
            <family val="2"/>
          </rPr>
          <t>Pro Forma 05/31/2018</t>
        </r>
      </text>
    </comment>
    <comment ref="N47" authorId="1" shapeId="0" xr:uid="{00000000-0006-0000-1C00-00001D000000}">
      <text>
        <r>
          <rPr>
            <sz val="8"/>
            <color indexed="81"/>
            <rFont val="Tahoma"/>
            <family val="2"/>
          </rPr>
          <t>Pro Forma 05/31/2018</t>
        </r>
      </text>
    </comment>
    <comment ref="O47" authorId="1" shapeId="0" xr:uid="{00000000-0006-0000-1C00-00001E000000}">
      <text>
        <r>
          <rPr>
            <sz val="8"/>
            <color indexed="81"/>
            <rFont val="Tahoma"/>
            <family val="2"/>
          </rPr>
          <t>Pro Forma</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Parikshit Marathe</author>
  </authors>
  <commentList>
    <comment ref="A42" authorId="0" shapeId="0" xr:uid="{00000000-0006-0000-1D00-000001000000}">
      <text>
        <r>
          <rPr>
            <sz val="8"/>
            <color indexed="81"/>
            <rFont val="Tahoma"/>
            <family val="2"/>
          </rPr>
          <t>Source: York Model</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Deepak Rawat</author>
    <author>Parikshit Marathe</author>
  </authors>
  <commentList>
    <comment ref="D22" authorId="0" shapeId="0" xr:uid="{EF6BD130-FEF4-4989-AB38-68762FF999C9}">
      <text>
        <r>
          <rPr>
            <sz val="9"/>
            <color indexed="81"/>
            <rFont val="Tahoma"/>
            <family val="2"/>
          </rPr>
          <t>Reverse calculated</t>
        </r>
      </text>
    </comment>
    <comment ref="E22" authorId="0" shapeId="0" xr:uid="{9F05679D-504B-4D63-AAB8-E5DD52C97861}">
      <text>
        <r>
          <rPr>
            <sz val="9"/>
            <color indexed="81"/>
            <rFont val="Tahoma"/>
            <family val="2"/>
          </rPr>
          <t>Reverse calculated</t>
        </r>
      </text>
    </comment>
    <comment ref="I40" authorId="0" shapeId="0" xr:uid="{00000000-0006-0000-1E00-000001000000}">
      <text>
        <r>
          <rPr>
            <sz val="8"/>
            <color indexed="81"/>
            <rFont val="Tahoma"/>
            <family val="2"/>
          </rPr>
          <t>PF</t>
        </r>
      </text>
    </comment>
    <comment ref="J40" authorId="0" shapeId="0" xr:uid="{00000000-0006-0000-1E00-000002000000}">
      <text>
        <r>
          <rPr>
            <sz val="8"/>
            <color indexed="81"/>
            <rFont val="Tahoma"/>
            <family val="2"/>
          </rPr>
          <t>PF</t>
        </r>
      </text>
    </comment>
    <comment ref="I41" authorId="0" shapeId="0" xr:uid="{00000000-0006-0000-1E00-000003000000}">
      <text>
        <r>
          <rPr>
            <sz val="8"/>
            <color indexed="81"/>
            <rFont val="Tahoma"/>
            <family val="2"/>
          </rPr>
          <t>PF</t>
        </r>
      </text>
    </comment>
    <comment ref="J41" authorId="0" shapeId="0" xr:uid="{00000000-0006-0000-1E00-000004000000}">
      <text>
        <r>
          <rPr>
            <sz val="8"/>
            <color indexed="81"/>
            <rFont val="Tahoma"/>
            <family val="2"/>
          </rPr>
          <t>PF</t>
        </r>
      </text>
    </comment>
    <comment ref="J42" authorId="1" shapeId="0" xr:uid="{00000000-0006-0000-1E00-000005000000}">
      <text>
        <r>
          <rPr>
            <sz val="8"/>
            <color indexed="81"/>
            <rFont val="Tahoma"/>
            <family val="2"/>
          </rPr>
          <t>Source: York Model</t>
        </r>
      </text>
    </comment>
    <comment ref="K42" authorId="1" shapeId="0" xr:uid="{00000000-0006-0000-1E00-000006000000}">
      <text>
        <r>
          <rPr>
            <sz val="8"/>
            <color indexed="81"/>
            <rFont val="Tahoma"/>
            <family val="2"/>
          </rPr>
          <t>Source: York Model</t>
        </r>
      </text>
    </comment>
    <comment ref="L42" authorId="1" shapeId="0" xr:uid="{00000000-0006-0000-1E00-000007000000}">
      <text>
        <r>
          <rPr>
            <sz val="8"/>
            <color indexed="81"/>
            <rFont val="Tahoma"/>
            <family val="2"/>
          </rPr>
          <t>Source: York Model</t>
        </r>
      </text>
    </comment>
    <comment ref="M42" authorId="1" shapeId="0" xr:uid="{00000000-0006-0000-1E00-000008000000}">
      <text>
        <r>
          <rPr>
            <sz val="8"/>
            <color indexed="81"/>
            <rFont val="Tahoma"/>
            <family val="2"/>
          </rPr>
          <t>Source: York Model</t>
        </r>
      </text>
    </comment>
    <comment ref="N42" authorId="1" shapeId="0" xr:uid="{00000000-0006-0000-1E00-000009000000}">
      <text>
        <r>
          <rPr>
            <sz val="8"/>
            <color indexed="81"/>
            <rFont val="Tahoma"/>
            <family val="2"/>
          </rPr>
          <t>Source: York Model</t>
        </r>
      </text>
    </comment>
    <comment ref="O42" authorId="1" shapeId="0" xr:uid="{00000000-0006-0000-1E00-00000A000000}">
      <text>
        <r>
          <rPr>
            <sz val="8"/>
            <color indexed="81"/>
            <rFont val="Tahoma"/>
            <family val="2"/>
          </rPr>
          <t>Source: York Model</t>
        </r>
      </text>
    </comment>
    <comment ref="P42" authorId="1" shapeId="0" xr:uid="{00000000-0006-0000-1E00-00000B000000}">
      <text>
        <r>
          <rPr>
            <sz val="8"/>
            <color indexed="81"/>
            <rFont val="Tahoma"/>
            <family val="2"/>
          </rPr>
          <t>Source: York Model</t>
        </r>
      </text>
    </comment>
    <comment ref="Q42" authorId="1" shapeId="0" xr:uid="{00000000-0006-0000-1E00-00000C000000}">
      <text>
        <r>
          <rPr>
            <sz val="8"/>
            <color indexed="81"/>
            <rFont val="Tahoma"/>
            <family val="2"/>
          </rPr>
          <t>Source: York Model</t>
        </r>
      </text>
    </comment>
    <comment ref="I44" authorId="0" shapeId="0" xr:uid="{00000000-0006-0000-1E00-00000D000000}">
      <text>
        <r>
          <rPr>
            <sz val="8"/>
            <color indexed="81"/>
            <rFont val="Tahoma"/>
            <family val="2"/>
          </rPr>
          <t>PF</t>
        </r>
      </text>
    </comment>
    <comment ref="J44" authorId="0" shapeId="0" xr:uid="{00000000-0006-0000-1E00-00000E000000}">
      <text>
        <r>
          <rPr>
            <sz val="8"/>
            <color indexed="81"/>
            <rFont val="Tahoma"/>
            <family val="2"/>
          </rPr>
          <t>PF</t>
        </r>
      </text>
    </comment>
    <comment ref="B47" authorId="0" shapeId="0" xr:uid="{D5319C3A-D91C-451F-AF20-84557F689A13}">
      <text>
        <r>
          <rPr>
            <sz val="8"/>
            <color indexed="81"/>
            <rFont val="Tahoma"/>
            <family val="2"/>
          </rPr>
          <t>PF</t>
        </r>
      </text>
    </comment>
    <comment ref="C47" authorId="0" shapeId="0" xr:uid="{65EF01C2-84F6-4B1D-9C02-9B87021373D0}">
      <text>
        <r>
          <rPr>
            <sz val="8"/>
            <color indexed="81"/>
            <rFont val="Tahoma"/>
            <family val="2"/>
          </rPr>
          <t>PF</t>
        </r>
      </text>
    </comment>
    <comment ref="D47" authorId="0" shapeId="0" xr:uid="{2936DE14-4150-4D09-914E-2B36D40EC936}">
      <text>
        <r>
          <rPr>
            <sz val="8"/>
            <color indexed="81"/>
            <rFont val="Tahoma"/>
            <family val="2"/>
          </rPr>
          <t>PF</t>
        </r>
      </text>
    </comment>
    <comment ref="E47" authorId="0" shapeId="0" xr:uid="{51F013A7-BC8B-40FD-86A8-539C9C64C1E3}">
      <text>
        <r>
          <rPr>
            <sz val="8"/>
            <color indexed="81"/>
            <rFont val="Tahoma"/>
            <family val="2"/>
          </rPr>
          <t>PF</t>
        </r>
      </text>
    </comment>
    <comment ref="F47" authorId="0" shapeId="0" xr:uid="{E0E39213-91E9-48E6-9F74-1CAEC490AD22}">
      <text>
        <r>
          <rPr>
            <sz val="8"/>
            <color indexed="81"/>
            <rFont val="Tahoma"/>
            <family val="2"/>
          </rPr>
          <t>PF</t>
        </r>
      </text>
    </comment>
    <comment ref="G47" authorId="0" shapeId="0" xr:uid="{00000000-0006-0000-1E00-00000F000000}">
      <text>
        <r>
          <rPr>
            <sz val="8"/>
            <color indexed="81"/>
            <rFont val="Tahoma"/>
            <family val="2"/>
          </rPr>
          <t>PF</t>
        </r>
      </text>
    </comment>
    <comment ref="H47" authorId="0" shapeId="0" xr:uid="{00000000-0006-0000-1E00-000010000000}">
      <text>
        <r>
          <rPr>
            <sz val="8"/>
            <color indexed="81"/>
            <rFont val="Tahoma"/>
            <family val="2"/>
          </rPr>
          <t>PF</t>
        </r>
      </text>
    </comment>
    <comment ref="I47" authorId="0" shapeId="0" xr:uid="{00000000-0006-0000-1E00-000011000000}">
      <text>
        <r>
          <rPr>
            <sz val="8"/>
            <color indexed="81"/>
            <rFont val="Tahoma"/>
            <family val="2"/>
          </rPr>
          <t>PF</t>
        </r>
      </text>
    </comment>
    <comment ref="J47" authorId="0" shapeId="0" xr:uid="{00000000-0006-0000-1E00-000012000000}">
      <text>
        <r>
          <rPr>
            <sz val="8"/>
            <color indexed="81"/>
            <rFont val="Tahoma"/>
            <family val="2"/>
          </rPr>
          <t>PF</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B12" authorId="0" shapeId="0" xr:uid="{BD51E081-A0E6-4356-A55F-8EA80F8EE6D9}">
      <text>
        <r>
          <rPr>
            <sz val="9"/>
            <color indexed="81"/>
            <rFont val="Tahoma"/>
            <family val="2"/>
          </rPr>
          <t>Pro Forma</t>
        </r>
      </text>
    </comment>
    <comment ref="C12" authorId="0" shapeId="0" xr:uid="{902A0E27-AF1D-410E-837B-97716B5BC413}">
      <text>
        <r>
          <rPr>
            <sz val="9"/>
            <color indexed="81"/>
            <rFont val="Tahoma"/>
            <family val="2"/>
          </rPr>
          <t>Pro Forma</t>
        </r>
      </text>
    </comment>
    <comment ref="D12" authorId="0" shapeId="0" xr:uid="{ADCBB5EC-EF5F-4FE6-A62F-0BDA6BC5CC4B}">
      <text>
        <r>
          <rPr>
            <sz val="9"/>
            <color indexed="81"/>
            <rFont val="Tahoma"/>
            <family val="2"/>
          </rPr>
          <t>Pro Forma</t>
        </r>
      </text>
    </comment>
    <comment ref="E12" authorId="0" shapeId="0" xr:uid="{76DC98B2-6D6E-4E61-A6BB-7932D233DCE1}">
      <text>
        <r>
          <rPr>
            <sz val="9"/>
            <color indexed="81"/>
            <rFont val="Tahoma"/>
            <family val="2"/>
          </rPr>
          <t>Pro Forma</t>
        </r>
      </text>
    </comment>
    <comment ref="F12" authorId="0" shapeId="0" xr:uid="{57084F45-DBC5-47D6-A5C2-D7B89A7A59C5}">
      <text>
        <r>
          <rPr>
            <sz val="9"/>
            <color indexed="81"/>
            <rFont val="Tahoma"/>
            <family val="2"/>
          </rPr>
          <t>Pro Forma</t>
        </r>
      </text>
    </comment>
    <comment ref="B16" authorId="0" shapeId="0" xr:uid="{FB3FD2B7-60FE-47D0-AC04-64363BB46762}">
      <text>
        <r>
          <rPr>
            <sz val="9"/>
            <color indexed="81"/>
            <rFont val="Tahoma"/>
            <family val="2"/>
          </rPr>
          <t>Pro Forma</t>
        </r>
      </text>
    </comment>
    <comment ref="C16" authorId="0" shapeId="0" xr:uid="{E0A9FA8F-E0CB-444B-BD8C-A7F20237819E}">
      <text>
        <r>
          <rPr>
            <sz val="9"/>
            <color indexed="81"/>
            <rFont val="Tahoma"/>
            <family val="2"/>
          </rPr>
          <t>Pro Forma</t>
        </r>
      </text>
    </comment>
    <comment ref="D16" authorId="0" shapeId="0" xr:uid="{40B0D298-4941-4BE2-92C4-DDB52363A766}">
      <text>
        <r>
          <rPr>
            <sz val="9"/>
            <color indexed="81"/>
            <rFont val="Tahoma"/>
            <family val="2"/>
          </rPr>
          <t>Pro Forma</t>
        </r>
      </text>
    </comment>
    <comment ref="E16" authorId="0" shapeId="0" xr:uid="{FD798E7F-4DBC-4229-BFF0-4DFEF5B3C5BC}">
      <text>
        <r>
          <rPr>
            <sz val="9"/>
            <color indexed="81"/>
            <rFont val="Tahoma"/>
            <family val="2"/>
          </rPr>
          <t>Pro Forma</t>
        </r>
      </text>
    </comment>
    <comment ref="F16" authorId="0" shapeId="0" xr:uid="{693F8DDF-2443-4C02-9909-0DFB0189DC8F}">
      <text>
        <r>
          <rPr>
            <sz val="9"/>
            <color indexed="81"/>
            <rFont val="Tahoma"/>
            <family val="2"/>
          </rPr>
          <t>Pro Forma</t>
        </r>
      </text>
    </comment>
    <comment ref="G16" authorId="0" shapeId="0" xr:uid="{983E7A37-E65B-48F8-8A7B-A796D231DF8A}">
      <text>
        <r>
          <rPr>
            <sz val="9"/>
            <color indexed="81"/>
            <rFont val="Tahoma"/>
            <family val="2"/>
          </rPr>
          <t>Source: 1q20 Compliance cert</t>
        </r>
      </text>
    </comment>
    <comment ref="H16" authorId="0" shapeId="0" xr:uid="{E9AF8EC5-7DC9-4515-BC65-2A300B0F7089}">
      <text>
        <r>
          <rPr>
            <sz val="9"/>
            <color indexed="81"/>
            <rFont val="Tahoma"/>
            <family val="2"/>
          </rPr>
          <t>Source: 1q20 Compliance cert</t>
        </r>
      </text>
    </comment>
    <comment ref="I16" authorId="0" shapeId="0" xr:uid="{E3D558E4-DB8D-443D-8CFE-748D80221222}">
      <text>
        <r>
          <rPr>
            <sz val="9"/>
            <color indexed="81"/>
            <rFont val="Tahoma"/>
            <family val="2"/>
          </rPr>
          <t>Source: 1q20 Compliance cert</t>
        </r>
      </text>
    </comment>
    <comment ref="B24" authorId="0" shapeId="0" xr:uid="{D0345E32-04B2-4864-97D3-6AFCDF44E5A6}">
      <text>
        <r>
          <rPr>
            <sz val="9"/>
            <color indexed="81"/>
            <rFont val="Tahoma"/>
            <family val="2"/>
          </rPr>
          <t>Pro Forma</t>
        </r>
      </text>
    </comment>
    <comment ref="C24" authorId="0" shapeId="0" xr:uid="{8AF4A539-E501-4151-AFB3-B957A943D92E}">
      <text>
        <r>
          <rPr>
            <sz val="9"/>
            <color indexed="81"/>
            <rFont val="Tahoma"/>
            <family val="2"/>
          </rPr>
          <t>Pro Forma</t>
        </r>
      </text>
    </comment>
    <comment ref="D24" authorId="0" shapeId="0" xr:uid="{18CDFA1F-4F30-4A48-98BE-BEC04F67E9D4}">
      <text>
        <r>
          <rPr>
            <sz val="9"/>
            <color indexed="81"/>
            <rFont val="Tahoma"/>
            <family val="2"/>
          </rPr>
          <t>Pro Forma</t>
        </r>
      </text>
    </comment>
    <comment ref="E24" authorId="0" shapeId="0" xr:uid="{A405EE41-914D-428C-A64F-A4DCBE2CD1E0}">
      <text>
        <r>
          <rPr>
            <sz val="9"/>
            <color indexed="81"/>
            <rFont val="Tahoma"/>
            <family val="2"/>
          </rPr>
          <t>Pro Forma</t>
        </r>
      </text>
    </comment>
    <comment ref="A36" authorId="0" shapeId="0" xr:uid="{00000000-0006-0000-1F00-000001000000}">
      <text>
        <r>
          <rPr>
            <sz val="8"/>
            <color indexed="81"/>
            <rFont val="Tahoma"/>
            <family val="2"/>
          </rPr>
          <t>Purchases + Sale</t>
        </r>
      </text>
    </comment>
    <comment ref="C46" authorId="0" shapeId="0" xr:uid="{061A21FC-C28E-4C46-B30F-9504C5EFA1EF}">
      <text>
        <r>
          <rPr>
            <sz val="9"/>
            <color indexed="81"/>
            <rFont val="Tahoma"/>
            <family val="2"/>
          </rPr>
          <t>Actual number from presentation</t>
        </r>
      </text>
    </comment>
    <comment ref="G48" authorId="0" shapeId="0" xr:uid="{00000000-0006-0000-1F00-000002000000}">
      <text>
        <r>
          <rPr>
            <sz val="9"/>
            <color indexed="81"/>
            <rFont val="Tahoma"/>
            <family val="2"/>
          </rPr>
          <t>FCF is PF Adj. EBITDA - Capex</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B39" authorId="0" shapeId="0" xr:uid="{E71B0C5E-5F4A-4F5D-A2D1-F60AE9B09E32}">
      <text>
        <r>
          <rPr>
            <sz val="9"/>
            <color indexed="81"/>
            <rFont val="Tahoma"/>
            <family val="2"/>
          </rPr>
          <t>Adjusted from CFS</t>
        </r>
      </text>
    </comment>
    <comment ref="B40" authorId="0" shapeId="0" xr:uid="{6102717B-2C7A-4673-B451-4CA5DF56D093}">
      <text>
        <r>
          <rPr>
            <sz val="9"/>
            <color indexed="81"/>
            <rFont val="Tahoma"/>
            <family val="2"/>
          </rPr>
          <t>Adjusted from CFS</t>
        </r>
      </text>
    </comment>
    <comment ref="B41" authorId="0" shapeId="0" xr:uid="{C563514B-BD67-42D3-9828-C78DFE96BCC2}">
      <text>
        <r>
          <rPr>
            <sz val="9"/>
            <color indexed="81"/>
            <rFont val="Tahoma"/>
            <family val="2"/>
          </rPr>
          <t>Assumed to be the same</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B25" authorId="0" shapeId="0" xr:uid="{1A12A6BE-C1CB-4131-8217-CCF5F264B571}">
      <text>
        <r>
          <rPr>
            <sz val="9"/>
            <color indexed="81"/>
            <rFont val="Tahoma"/>
            <family val="2"/>
          </rPr>
          <t>Includes COVID-19 adjustments</t>
        </r>
      </text>
    </comment>
    <comment ref="C25" authorId="0" shapeId="0" xr:uid="{213E1853-68EA-487F-9AB2-FA1321334440}">
      <text>
        <r>
          <rPr>
            <sz val="9"/>
            <color indexed="81"/>
            <rFont val="Tahoma"/>
            <family val="2"/>
          </rPr>
          <t>Includes COVID-19 adjustments</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B16" authorId="0" shapeId="0" xr:uid="{00000000-0006-0000-2200-000001000000}">
      <text>
        <r>
          <rPr>
            <sz val="8"/>
            <color indexed="81"/>
            <rFont val="Tahoma"/>
            <family val="2"/>
          </rPr>
          <t>Reverse calculated from LTM EBITDA</t>
        </r>
      </text>
    </comment>
    <comment ref="B24" authorId="0" shapeId="0" xr:uid="{00000000-0006-0000-2200-000002000000}">
      <text>
        <r>
          <rPr>
            <sz val="8"/>
            <color indexed="81"/>
            <rFont val="Tahoma"/>
            <family val="2"/>
          </rPr>
          <t>Source LP Nov 18</t>
        </r>
      </text>
    </comment>
    <comment ref="B39" authorId="0" shapeId="0" xr:uid="{00000000-0006-0000-2200-000003000000}">
      <text>
        <r>
          <rPr>
            <sz val="8"/>
            <color indexed="81"/>
            <rFont val="Tahoma"/>
            <family val="2"/>
          </rPr>
          <t>Pro Forma for Washington Sale</t>
        </r>
      </text>
    </comment>
    <comment ref="B40" authorId="0" shapeId="0" xr:uid="{00000000-0006-0000-2200-000004000000}">
      <text>
        <r>
          <rPr>
            <sz val="8"/>
            <color indexed="81"/>
            <rFont val="Tahoma"/>
            <family val="2"/>
          </rPr>
          <t>Pro Forma for Washington Sale</t>
        </r>
      </text>
    </comment>
    <comment ref="B41" authorId="0" shapeId="0" xr:uid="{00000000-0006-0000-2200-000005000000}">
      <text>
        <r>
          <rPr>
            <sz val="8"/>
            <color indexed="81"/>
            <rFont val="Tahoma"/>
            <family val="2"/>
          </rPr>
          <t>Pro Forma for Washington Sale</t>
        </r>
      </text>
    </comment>
    <comment ref="B44" authorId="0" shapeId="0" xr:uid="{00000000-0006-0000-2200-000006000000}">
      <text>
        <r>
          <rPr>
            <sz val="8"/>
            <color indexed="81"/>
            <rFont val="Tahoma"/>
            <family val="2"/>
          </rPr>
          <t>Pro Forma for Washington Sale</t>
        </r>
      </text>
    </comment>
    <comment ref="B46" authorId="0" shapeId="0" xr:uid="{00000000-0006-0000-2200-000007000000}">
      <text>
        <r>
          <rPr>
            <sz val="8"/>
            <color indexed="81"/>
            <rFont val="Tahoma"/>
            <family val="2"/>
          </rPr>
          <t>Calculated</t>
        </r>
      </text>
    </comment>
    <comment ref="B47" authorId="0" shapeId="0" xr:uid="{00000000-0006-0000-2200-000008000000}">
      <text>
        <r>
          <rPr>
            <sz val="8"/>
            <color indexed="81"/>
            <rFont val="Tahoma"/>
            <family val="2"/>
          </rPr>
          <t>Pro Forma for Washington Sale</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F24" authorId="0" shapeId="0" xr:uid="{3FC7D3D2-1AA7-46D6-B914-91B18ADE0165}">
      <text>
        <r>
          <rPr>
            <sz val="8"/>
            <color indexed="81"/>
            <rFont val="Tahoma"/>
            <family val="2"/>
          </rPr>
          <t>PF for Asset Sale</t>
        </r>
      </text>
    </comment>
    <comment ref="G24" authorId="0" shapeId="0" xr:uid="{00000000-0006-0000-2300-000001000000}">
      <text>
        <r>
          <rPr>
            <sz val="8"/>
            <color indexed="81"/>
            <rFont val="Tahoma"/>
            <family val="2"/>
          </rPr>
          <t>PF for Asset Sale</t>
        </r>
      </text>
    </comment>
    <comment ref="H24" authorId="0" shapeId="0" xr:uid="{00000000-0006-0000-2300-000002000000}">
      <text>
        <r>
          <rPr>
            <sz val="8"/>
            <color indexed="81"/>
            <rFont val="Tahoma"/>
            <family val="2"/>
          </rPr>
          <t>PF for Asset Sale</t>
        </r>
      </text>
    </comment>
    <comment ref="I24" authorId="0" shapeId="0" xr:uid="{00000000-0006-0000-2300-000003000000}">
      <text>
        <r>
          <rPr>
            <sz val="8"/>
            <color indexed="81"/>
            <rFont val="Tahoma"/>
            <family val="2"/>
          </rPr>
          <t>PF for Asset Sale</t>
        </r>
      </text>
    </comment>
    <comment ref="J24" authorId="0" shapeId="0" xr:uid="{00000000-0006-0000-2300-000004000000}">
      <text>
        <r>
          <rPr>
            <sz val="8"/>
            <color indexed="81"/>
            <rFont val="Tahoma"/>
            <family val="2"/>
          </rPr>
          <t>PF for Asset Sale</t>
        </r>
      </text>
    </comment>
    <comment ref="K24" authorId="0" shapeId="0" xr:uid="{00000000-0006-0000-2300-000005000000}">
      <text>
        <r>
          <rPr>
            <sz val="8"/>
            <color indexed="81"/>
            <rFont val="Tahoma"/>
            <family val="2"/>
          </rPr>
          <t>PF for Asset Sale</t>
        </r>
      </text>
    </comment>
    <comment ref="L24" authorId="0" shapeId="0" xr:uid="{00000000-0006-0000-2300-000006000000}">
      <text>
        <r>
          <rPr>
            <sz val="8"/>
            <color indexed="81"/>
            <rFont val="Tahoma"/>
            <family val="2"/>
          </rPr>
          <t>PF for Asset Sale</t>
        </r>
      </text>
    </comment>
    <comment ref="M24" authorId="0" shapeId="0" xr:uid="{00000000-0006-0000-2300-000007000000}">
      <text>
        <r>
          <rPr>
            <sz val="8"/>
            <color indexed="81"/>
            <rFont val="Tahoma"/>
            <family val="2"/>
          </rPr>
          <t>PF for Asset Sale</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Deepak Rawat</author>
    <author>Parikshit Marathe</author>
  </authors>
  <commentList>
    <comment ref="K25" authorId="0" shapeId="0" xr:uid="{00000000-0006-0000-2400-000001000000}">
      <text>
        <r>
          <rPr>
            <sz val="8"/>
            <color indexed="81"/>
            <rFont val="Tahoma"/>
            <family val="2"/>
          </rPr>
          <t>Bank EBITDA from Presentation</t>
        </r>
      </text>
    </comment>
    <comment ref="R27" authorId="1" shapeId="0" xr:uid="{00000000-0006-0000-2400-000002000000}">
      <text>
        <r>
          <rPr>
            <sz val="8"/>
            <color indexed="81"/>
            <rFont val="Tahoma"/>
            <family val="2"/>
          </rPr>
          <t>York Adjusted EBITDA
Source: York Model</t>
        </r>
      </text>
    </comment>
    <comment ref="L39" authorId="0" shapeId="0" xr:uid="{00000000-0006-0000-2400-000003000000}">
      <text>
        <r>
          <rPr>
            <sz val="8"/>
            <color indexed="81"/>
            <rFont val="Tahoma"/>
            <family val="2"/>
          </rPr>
          <t>Pro Forma</t>
        </r>
      </text>
    </comment>
    <comment ref="H40" authorId="0" shapeId="0" xr:uid="{00000000-0006-0000-2400-000004000000}">
      <text>
        <r>
          <rPr>
            <sz val="8"/>
            <color indexed="81"/>
            <rFont val="Tahoma"/>
            <family val="2"/>
          </rPr>
          <t>PF</t>
        </r>
      </text>
    </comment>
    <comment ref="I40" authorId="0" shapeId="0" xr:uid="{00000000-0006-0000-2400-000005000000}">
      <text>
        <r>
          <rPr>
            <sz val="8"/>
            <color indexed="81"/>
            <rFont val="Tahoma"/>
            <family val="2"/>
          </rPr>
          <t>PF</t>
        </r>
      </text>
    </comment>
    <comment ref="L40" authorId="0" shapeId="0" xr:uid="{00000000-0006-0000-2400-000006000000}">
      <text>
        <r>
          <rPr>
            <sz val="8"/>
            <color indexed="81"/>
            <rFont val="Tahoma"/>
            <family val="2"/>
          </rPr>
          <t>Pro Forma</t>
        </r>
      </text>
    </comment>
    <comment ref="H41" authorId="0" shapeId="0" xr:uid="{00000000-0006-0000-2400-000007000000}">
      <text>
        <r>
          <rPr>
            <sz val="8"/>
            <color indexed="81"/>
            <rFont val="Tahoma"/>
            <family val="2"/>
          </rPr>
          <t>PF</t>
        </r>
      </text>
    </comment>
    <comment ref="I41" authorId="0" shapeId="0" xr:uid="{00000000-0006-0000-2400-000008000000}">
      <text>
        <r>
          <rPr>
            <sz val="8"/>
            <color indexed="81"/>
            <rFont val="Tahoma"/>
            <family val="2"/>
          </rPr>
          <t>PF</t>
        </r>
      </text>
    </comment>
    <comment ref="L41" authorId="0" shapeId="0" xr:uid="{00000000-0006-0000-2400-000009000000}">
      <text>
        <r>
          <rPr>
            <sz val="8"/>
            <color indexed="81"/>
            <rFont val="Tahoma"/>
            <family val="2"/>
          </rPr>
          <t>Pro Forma</t>
        </r>
      </text>
    </comment>
    <comment ref="A42" authorId="1" shapeId="0" xr:uid="{00000000-0006-0000-2400-00000A000000}">
      <text>
        <r>
          <rPr>
            <sz val="8"/>
            <color indexed="81"/>
            <rFont val="Tahoma"/>
            <family val="2"/>
          </rPr>
          <t>Source: York Model</t>
        </r>
      </text>
    </comment>
    <comment ref="L42" authorId="0" shapeId="0" xr:uid="{00000000-0006-0000-2400-00000B000000}">
      <text>
        <r>
          <rPr>
            <sz val="8"/>
            <color indexed="81"/>
            <rFont val="Tahoma"/>
            <family val="2"/>
          </rPr>
          <t>Pro Forma</t>
        </r>
      </text>
    </comment>
    <comment ref="H44" authorId="0" shapeId="0" xr:uid="{00000000-0006-0000-2400-00000C000000}">
      <text>
        <r>
          <rPr>
            <sz val="8"/>
            <color indexed="81"/>
            <rFont val="Tahoma"/>
            <family val="2"/>
          </rPr>
          <t>PF</t>
        </r>
      </text>
    </comment>
    <comment ref="I44" authorId="0" shapeId="0" xr:uid="{00000000-0006-0000-2400-00000D000000}">
      <text>
        <r>
          <rPr>
            <sz val="8"/>
            <color indexed="81"/>
            <rFont val="Tahoma"/>
            <family val="2"/>
          </rPr>
          <t>PF</t>
        </r>
      </text>
    </comment>
    <comment ref="L44" authorId="0" shapeId="0" xr:uid="{00000000-0006-0000-2400-00000E000000}">
      <text>
        <r>
          <rPr>
            <sz val="8"/>
            <color indexed="81"/>
            <rFont val="Tahoma"/>
            <family val="2"/>
          </rPr>
          <t>Pro Forma</t>
        </r>
      </text>
    </comment>
    <comment ref="B47" authorId="0" shapeId="0" xr:uid="{EA859D62-F887-4939-991F-4AE653D447EC}">
      <text>
        <r>
          <rPr>
            <sz val="8"/>
            <color indexed="81"/>
            <rFont val="Tahoma"/>
            <family val="2"/>
          </rPr>
          <t>PF</t>
        </r>
      </text>
    </comment>
    <comment ref="C47" authorId="0" shapeId="0" xr:uid="{1A388CEA-A960-4BB2-9C75-687FCBA18E0B}">
      <text>
        <r>
          <rPr>
            <sz val="8"/>
            <color indexed="81"/>
            <rFont val="Tahoma"/>
            <family val="2"/>
          </rPr>
          <t>PF</t>
        </r>
      </text>
    </comment>
    <comment ref="D47" authorId="0" shapeId="0" xr:uid="{58097F2A-4FDD-4E23-B785-E9E4C6838C7E}">
      <text>
        <r>
          <rPr>
            <sz val="8"/>
            <color indexed="81"/>
            <rFont val="Tahoma"/>
            <family val="2"/>
          </rPr>
          <t>PF</t>
        </r>
      </text>
    </comment>
    <comment ref="E47" authorId="0" shapeId="0" xr:uid="{F86047FF-2B2E-43F0-9625-CAC2D62ADB65}">
      <text>
        <r>
          <rPr>
            <sz val="8"/>
            <color indexed="81"/>
            <rFont val="Tahoma"/>
            <family val="2"/>
          </rPr>
          <t>PF</t>
        </r>
      </text>
    </comment>
    <comment ref="F47" authorId="0" shapeId="0" xr:uid="{5AB73538-6304-4460-86CD-74E9FD0CDE42}">
      <text>
        <r>
          <rPr>
            <sz val="8"/>
            <color indexed="81"/>
            <rFont val="Tahoma"/>
            <family val="2"/>
          </rPr>
          <t>PF</t>
        </r>
      </text>
    </comment>
    <comment ref="G47" authorId="0" shapeId="0" xr:uid="{00000000-0006-0000-2400-00000F000000}">
      <text>
        <r>
          <rPr>
            <sz val="8"/>
            <color indexed="81"/>
            <rFont val="Tahoma"/>
            <family val="2"/>
          </rPr>
          <t>PF</t>
        </r>
      </text>
    </comment>
    <comment ref="H47" authorId="0" shapeId="0" xr:uid="{00000000-0006-0000-2400-000010000000}">
      <text>
        <r>
          <rPr>
            <sz val="8"/>
            <color indexed="81"/>
            <rFont val="Tahoma"/>
            <family val="2"/>
          </rPr>
          <t>PF</t>
        </r>
      </text>
    </comment>
    <comment ref="I47" authorId="0" shapeId="0" xr:uid="{00000000-0006-0000-2400-000011000000}">
      <text>
        <r>
          <rPr>
            <sz val="8"/>
            <color indexed="81"/>
            <rFont val="Tahoma"/>
            <family val="2"/>
          </rPr>
          <t>PF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Deepak Rawat</author>
    <author>Parikshit Marathe</author>
  </authors>
  <commentList>
    <comment ref="B41" authorId="0" shapeId="0" xr:uid="{00000000-0006-0000-0200-000001000000}">
      <text>
        <r>
          <rPr>
            <sz val="8"/>
            <color indexed="81"/>
            <rFont val="Tahoma"/>
            <family val="2"/>
          </rPr>
          <t>Source: MD&amp;A</t>
        </r>
      </text>
    </comment>
    <comment ref="C41" authorId="0" shapeId="0" xr:uid="{00000000-0006-0000-0200-000002000000}">
      <text>
        <r>
          <rPr>
            <sz val="8"/>
            <color indexed="81"/>
            <rFont val="Tahoma"/>
            <family val="2"/>
          </rPr>
          <t>Source: MD&amp;A</t>
        </r>
      </text>
    </comment>
    <comment ref="E41" authorId="0" shapeId="0" xr:uid="{00000000-0006-0000-0200-000003000000}">
      <text>
        <r>
          <rPr>
            <sz val="8"/>
            <color indexed="81"/>
            <rFont val="Tahoma"/>
            <family val="2"/>
          </rPr>
          <t>No changes in CFS</t>
        </r>
      </text>
    </comment>
    <comment ref="H46" authorId="1" shapeId="0" xr:uid="{00000000-0006-0000-0200-000004000000}">
      <text>
        <r>
          <rPr>
            <sz val="8"/>
            <color indexed="81"/>
            <rFont val="Tahoma"/>
            <family val="2"/>
          </rPr>
          <t>PF 12M ending Feb-2018</t>
        </r>
      </text>
    </comment>
    <comment ref="H47" authorId="1" shapeId="0" xr:uid="{00000000-0006-0000-0200-000005000000}">
      <text>
        <r>
          <rPr>
            <sz val="8"/>
            <color indexed="81"/>
            <rFont val="Tahoma"/>
            <family val="2"/>
          </rPr>
          <t>PF 12M ending Feb-2018</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J12" authorId="0" shapeId="0" xr:uid="{FAD04C35-FF46-4116-A741-7C44BA06CB8F}">
      <text>
        <r>
          <rPr>
            <sz val="9"/>
            <color indexed="81"/>
            <rFont val="Tahoma"/>
            <family val="2"/>
          </rPr>
          <t>PF</t>
        </r>
      </text>
    </comment>
    <comment ref="K12" authorId="0" shapeId="0" xr:uid="{00000000-0006-0000-2500-000005000000}">
      <text>
        <r>
          <rPr>
            <sz val="8"/>
            <color indexed="81"/>
            <rFont val="Tahoma"/>
            <family val="2"/>
          </rPr>
          <t>PF Rev from 1Q19 Financials</t>
        </r>
      </text>
    </comment>
    <comment ref="L12" authorId="0" shapeId="0" xr:uid="{00000000-0006-0000-2500-000006000000}">
      <text>
        <r>
          <rPr>
            <sz val="8"/>
            <color indexed="81"/>
            <rFont val="Tahoma"/>
            <family val="2"/>
          </rPr>
          <t>PF Rev from 4Q19 Financials</t>
        </r>
      </text>
    </comment>
    <comment ref="M12" authorId="0" shapeId="0" xr:uid="{00000000-0006-0000-2500-000007000000}">
      <text>
        <r>
          <rPr>
            <sz val="8"/>
            <color indexed="81"/>
            <rFont val="Tahoma"/>
            <family val="2"/>
          </rPr>
          <t>PF Rev from 3Q19 Financials</t>
        </r>
      </text>
    </comment>
    <comment ref="N12" authorId="0" shapeId="0" xr:uid="{00000000-0006-0000-2500-000008000000}">
      <text>
        <r>
          <rPr>
            <sz val="8"/>
            <color indexed="81"/>
            <rFont val="Tahoma"/>
            <family val="2"/>
          </rPr>
          <t>PF Rev from 2Q19 Financials</t>
        </r>
      </text>
    </comment>
    <comment ref="O12" authorId="0" shapeId="0" xr:uid="{00000000-0006-0000-2500-000009000000}">
      <text>
        <r>
          <rPr>
            <sz val="8"/>
            <color indexed="81"/>
            <rFont val="Tahoma"/>
            <family val="2"/>
          </rPr>
          <t>PF Rev from 1Q19 Financials</t>
        </r>
      </text>
    </comment>
    <comment ref="J16" authorId="0" shapeId="0" xr:uid="{C28CA1AB-D5A1-4CF4-B413-5C03628F52A9}">
      <text>
        <r>
          <rPr>
            <sz val="9"/>
            <color indexed="81"/>
            <rFont val="Tahoma"/>
            <family val="2"/>
          </rPr>
          <t>PF</t>
        </r>
      </text>
    </comment>
    <comment ref="K16" authorId="0" shapeId="0" xr:uid="{00000000-0006-0000-2500-00000E000000}">
      <text>
        <r>
          <rPr>
            <sz val="8"/>
            <color indexed="81"/>
            <rFont val="Tahoma"/>
            <family val="2"/>
          </rPr>
          <t>PF EBITDA from 1Q19 Financials</t>
        </r>
      </text>
    </comment>
    <comment ref="L16" authorId="0" shapeId="0" xr:uid="{00000000-0006-0000-2500-00000F000000}">
      <text>
        <r>
          <rPr>
            <sz val="8"/>
            <color indexed="81"/>
            <rFont val="Tahoma"/>
            <family val="2"/>
          </rPr>
          <t>PF EBITDA from 4Q19 Financials</t>
        </r>
      </text>
    </comment>
    <comment ref="M16" authorId="0" shapeId="0" xr:uid="{00000000-0006-0000-2500-000010000000}">
      <text>
        <r>
          <rPr>
            <sz val="8"/>
            <color indexed="81"/>
            <rFont val="Tahoma"/>
            <family val="2"/>
          </rPr>
          <t>PF EBITDA from 3Q19 Financials</t>
        </r>
      </text>
    </comment>
    <comment ref="N16" authorId="0" shapeId="0" xr:uid="{00000000-0006-0000-2500-000011000000}">
      <text>
        <r>
          <rPr>
            <sz val="8"/>
            <color indexed="81"/>
            <rFont val="Tahoma"/>
            <family val="2"/>
          </rPr>
          <t>PF EBITDA from 2Q19 Financials</t>
        </r>
      </text>
    </comment>
    <comment ref="O16" authorId="0" shapeId="0" xr:uid="{00000000-0006-0000-2500-000012000000}">
      <text>
        <r>
          <rPr>
            <sz val="8"/>
            <color indexed="81"/>
            <rFont val="Tahoma"/>
            <family val="2"/>
          </rPr>
          <t>PF EBITDA from 1Q19 Financials</t>
        </r>
      </text>
    </comment>
    <comment ref="D26" authorId="0" shapeId="0" xr:uid="{FFCBAC4A-B14C-426E-9715-A32DEA658F14}">
      <text>
        <r>
          <rPr>
            <sz val="9"/>
            <color indexed="81"/>
            <rFont val="Tahoma"/>
            <family val="2"/>
          </rPr>
          <t>Recently completed acquisitions from MD&amp;A</t>
        </r>
      </text>
    </comment>
    <comment ref="C40" authorId="0" shapeId="0" xr:uid="{9766E7E2-DB5B-4DE3-8ADD-44C2635B2217}">
      <text>
        <r>
          <rPr>
            <sz val="8"/>
            <color indexed="81"/>
            <rFont val="Tahoma"/>
            <family val="2"/>
          </rPr>
          <t>Adjusted for Repayment</t>
        </r>
      </text>
    </comment>
    <comment ref="J40" authorId="0" shapeId="0" xr:uid="{00000000-0006-0000-2500-000013000000}">
      <text>
        <r>
          <rPr>
            <sz val="8"/>
            <color indexed="81"/>
            <rFont val="Tahoma"/>
            <family val="2"/>
          </rPr>
          <t>Adjusted for Repayment of $3.765mm</t>
        </r>
      </text>
    </comment>
    <comment ref="K40" authorId="0" shapeId="0" xr:uid="{00000000-0006-0000-2500-000014000000}">
      <text>
        <r>
          <rPr>
            <sz val="8"/>
            <color indexed="81"/>
            <rFont val="Tahoma"/>
            <family val="2"/>
          </rPr>
          <t>Adjusted for Repayment of $1.882mm</t>
        </r>
      </text>
    </comment>
    <comment ref="L40" authorId="0" shapeId="0" xr:uid="{00000000-0006-0000-2500-000015000000}">
      <text>
        <r>
          <rPr>
            <sz val="8"/>
            <color indexed="81"/>
            <rFont val="Tahoma"/>
            <family val="2"/>
          </rPr>
          <t>Adjusted for Repayment of $1.882mm</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Parikshit Marathe</author>
    <author>Deepak Rawat</author>
  </authors>
  <commentList>
    <comment ref="A36" authorId="0" shapeId="0" xr:uid="{00000000-0006-0000-2700-000001000000}">
      <text>
        <r>
          <rPr>
            <sz val="8"/>
            <color indexed="81"/>
            <rFont val="Tahoma"/>
            <family val="2"/>
          </rPr>
          <t>Inlcuding
(1) Capital expenditures
(2) Nuclear fuel purchases
(3) Solar development expenditures</t>
        </r>
      </text>
    </comment>
    <comment ref="G40" authorId="1" shapeId="0" xr:uid="{00000000-0006-0000-2700-000002000000}">
      <text>
        <r>
          <rPr>
            <b/>
            <sz val="8"/>
            <color indexed="81"/>
            <rFont val="Tahoma"/>
            <family val="2"/>
          </rPr>
          <t>(PF)</t>
        </r>
        <r>
          <rPr>
            <sz val="8"/>
            <color indexed="81"/>
            <rFont val="Tahoma"/>
            <family val="2"/>
          </rPr>
          <t xml:space="preserve"> November 15, 2019: No impact since $1,100.0mm of Senior Secured notes were issued to repay equivalent amount of Term Loan o/s
Source: 8-k</t>
        </r>
      </text>
    </comment>
    <comment ref="G41" authorId="1" shapeId="0" xr:uid="{00000000-0006-0000-2700-000003000000}">
      <text>
        <r>
          <rPr>
            <b/>
            <sz val="8"/>
            <color indexed="81"/>
            <rFont val="Tahoma"/>
            <family val="2"/>
          </rPr>
          <t>(PF)</t>
        </r>
        <r>
          <rPr>
            <sz val="8"/>
            <color indexed="81"/>
            <rFont val="Tahoma"/>
            <family val="2"/>
          </rPr>
          <t xml:space="preserve"> On Nov 1, 2019, Vistra Energy redeemed all outstanding 7.625% Senior Notes due 2024 of $387.0mm
Source: Company Presentation from Investor Relations</t>
        </r>
      </text>
    </comment>
    <comment ref="I42" authorId="1" shapeId="0" xr:uid="{00000000-0006-0000-2700-000004000000}">
      <text>
        <r>
          <rPr>
            <sz val="8"/>
            <color indexed="81"/>
            <rFont val="Tahoma"/>
            <family val="2"/>
          </rPr>
          <t>As on 7th May 2019</t>
        </r>
      </text>
    </comment>
    <comment ref="G44" authorId="1" shapeId="0" xr:uid="{00000000-0006-0000-2700-000005000000}">
      <text>
        <r>
          <rPr>
            <b/>
            <sz val="8"/>
            <color indexed="81"/>
            <rFont val="Tahoma"/>
            <family val="2"/>
          </rPr>
          <t>(PF)</t>
        </r>
        <r>
          <rPr>
            <sz val="8"/>
            <color indexed="81"/>
            <rFont val="Tahoma"/>
            <family val="2"/>
          </rPr>
          <t xml:space="preserve"> On Nov 1, 2019, Vistra Energy redeemed all outstanding 7.625% Senior Notes due 2024 of $387.0mm
Source: Company Presentation from Investor Relations</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J25" authorId="0" shapeId="0" xr:uid="{00000000-0006-0000-2800-000001000000}">
      <text>
        <r>
          <rPr>
            <sz val="8"/>
            <color indexed="81"/>
            <rFont val="Tahoma"/>
            <family val="2"/>
          </rPr>
          <t>Source: Q3 LP</t>
        </r>
      </text>
    </comment>
    <comment ref="K25" authorId="0" shapeId="0" xr:uid="{00000000-0006-0000-2800-000002000000}">
      <text>
        <r>
          <rPr>
            <sz val="8"/>
            <color indexed="81"/>
            <rFont val="Tahoma"/>
            <family val="2"/>
          </rPr>
          <t>Source: Q2 LP</t>
        </r>
      </text>
    </comment>
    <comment ref="L25" authorId="0" shapeId="0" xr:uid="{00000000-0006-0000-2800-000003000000}">
      <text>
        <r>
          <rPr>
            <sz val="8"/>
            <color indexed="81"/>
            <rFont val="Tahoma"/>
            <family val="2"/>
          </rPr>
          <t>Source: Q2 LP</t>
        </r>
      </text>
    </comment>
    <comment ref="M25" authorId="0" shapeId="0" xr:uid="{00000000-0006-0000-2800-000004000000}">
      <text>
        <r>
          <rPr>
            <sz val="8"/>
            <color indexed="81"/>
            <rFont val="Tahoma"/>
            <family val="2"/>
          </rPr>
          <t>Source: Q3 LP</t>
        </r>
      </text>
    </comment>
    <comment ref="K39" authorId="0" shapeId="0" xr:uid="{00000000-0006-0000-2800-000005000000}">
      <text>
        <r>
          <rPr>
            <sz val="8"/>
            <color indexed="81"/>
            <rFont val="Tahoma"/>
            <family val="2"/>
          </rPr>
          <t>Source: Q2 LP</t>
        </r>
      </text>
    </comment>
    <comment ref="L39" authorId="0" shapeId="0" xr:uid="{00000000-0006-0000-2800-000006000000}">
      <text>
        <r>
          <rPr>
            <sz val="8"/>
            <color indexed="81"/>
            <rFont val="Tahoma"/>
            <family val="2"/>
          </rPr>
          <t>Source: Q2 LP</t>
        </r>
      </text>
    </comment>
    <comment ref="K40" authorId="0" shapeId="0" xr:uid="{00000000-0006-0000-2800-000007000000}">
      <text>
        <r>
          <rPr>
            <sz val="8"/>
            <color indexed="81"/>
            <rFont val="Tahoma"/>
            <family val="2"/>
          </rPr>
          <t>Source: Q2 LP</t>
        </r>
      </text>
    </comment>
    <comment ref="L40" authorId="0" shapeId="0" xr:uid="{00000000-0006-0000-2800-000008000000}">
      <text>
        <r>
          <rPr>
            <sz val="8"/>
            <color indexed="81"/>
            <rFont val="Tahoma"/>
            <family val="2"/>
          </rPr>
          <t>Source: Q2 LP</t>
        </r>
      </text>
    </comment>
    <comment ref="K41" authorId="0" shapeId="0" xr:uid="{00000000-0006-0000-2800-000009000000}">
      <text>
        <r>
          <rPr>
            <sz val="8"/>
            <color indexed="81"/>
            <rFont val="Tahoma"/>
            <family val="2"/>
          </rPr>
          <t>Source: Q2 LP</t>
        </r>
      </text>
    </comment>
    <comment ref="L41" authorId="0" shapeId="0" xr:uid="{00000000-0006-0000-2800-00000A000000}">
      <text>
        <r>
          <rPr>
            <sz val="8"/>
            <color indexed="81"/>
            <rFont val="Tahoma"/>
            <family val="2"/>
          </rPr>
          <t>Source: Q2 LP</t>
        </r>
      </text>
    </comment>
    <comment ref="K44" authorId="0" shapeId="0" xr:uid="{00000000-0006-0000-2800-00000B000000}">
      <text>
        <r>
          <rPr>
            <sz val="8"/>
            <color indexed="81"/>
            <rFont val="Tahoma"/>
            <family val="2"/>
          </rPr>
          <t>Source: Q2 LP</t>
        </r>
      </text>
    </comment>
    <comment ref="L44" authorId="0" shapeId="0" xr:uid="{00000000-0006-0000-2800-00000C000000}">
      <text>
        <r>
          <rPr>
            <sz val="8"/>
            <color indexed="81"/>
            <rFont val="Tahoma"/>
            <family val="2"/>
          </rPr>
          <t>Source: Q2 LP</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B35" authorId="0" shapeId="0" xr:uid="{B58DE029-ECC7-4164-A63C-AA792D6EF17A}">
      <text>
        <r>
          <rPr>
            <sz val="9"/>
            <color indexed="81"/>
            <rFont val="Tahoma"/>
            <family val="2"/>
          </rPr>
          <t>Balancing figure from Presentation</t>
        </r>
      </text>
    </comment>
    <comment ref="C35" authorId="0" shapeId="0" xr:uid="{F60B68E9-D97B-4C99-808B-B8F092F093C8}">
      <text>
        <r>
          <rPr>
            <sz val="9"/>
            <color indexed="81"/>
            <rFont val="Tahoma"/>
            <family val="2"/>
          </rPr>
          <t>Balancing figure from Presentation</t>
        </r>
      </text>
    </comment>
    <comment ref="D35" authorId="0" shapeId="0" xr:uid="{50C4994E-D352-4E1D-94A9-080254B73AB9}">
      <text>
        <r>
          <rPr>
            <sz val="9"/>
            <color indexed="81"/>
            <rFont val="Tahoma"/>
            <family val="2"/>
          </rPr>
          <t>Balancing figure from Presentation</t>
        </r>
      </text>
    </comment>
    <comment ref="E35" authorId="0" shapeId="0" xr:uid="{AB5BEC85-5347-406D-AAAE-7DEA3BD2623A}">
      <text>
        <r>
          <rPr>
            <sz val="9"/>
            <color indexed="81"/>
            <rFont val="Tahoma"/>
            <family val="2"/>
          </rPr>
          <t>Balancing figure from Presentation</t>
        </r>
      </text>
    </comment>
    <comment ref="F35" authorId="0" shapeId="0" xr:uid="{FC4296A6-2A16-42AB-9564-8FA4D7C905BE}">
      <text>
        <r>
          <rPr>
            <sz val="9"/>
            <color indexed="81"/>
            <rFont val="Tahoma"/>
            <family val="2"/>
          </rPr>
          <t>Balancing figure from Presentation</t>
        </r>
      </text>
    </comment>
    <comment ref="G35" authorId="0" shapeId="0" xr:uid="{00000000-0006-0000-2900-000001000000}">
      <text>
        <r>
          <rPr>
            <sz val="9"/>
            <color indexed="81"/>
            <rFont val="Tahoma"/>
            <family val="2"/>
          </rPr>
          <t>Balancing figure from Presentation</t>
        </r>
      </text>
    </comment>
    <comment ref="H35" authorId="0" shapeId="0" xr:uid="{5DDD054B-F77F-4328-8CE5-04C3534E7160}">
      <text>
        <r>
          <rPr>
            <sz val="9"/>
            <color indexed="81"/>
            <rFont val="Tahoma"/>
            <family val="2"/>
          </rPr>
          <t>Balancing figure from Presentation</t>
        </r>
      </text>
    </comment>
    <comment ref="I35" authorId="0" shapeId="0" xr:uid="{EF9EBAAA-D196-4199-8479-AB755ABC5642}">
      <text>
        <r>
          <rPr>
            <sz val="9"/>
            <color indexed="81"/>
            <rFont val="Tahoma"/>
            <family val="2"/>
          </rPr>
          <t>Balancing figure from Presentation</t>
        </r>
      </text>
    </comment>
    <comment ref="J35" authorId="0" shapeId="0" xr:uid="{75C4D078-31BB-4697-978F-1D62ACEA9CB4}">
      <text>
        <r>
          <rPr>
            <sz val="9"/>
            <color indexed="81"/>
            <rFont val="Tahoma"/>
            <family val="2"/>
          </rPr>
          <t>Balancing figure from Presentation</t>
        </r>
      </text>
    </comment>
    <comment ref="K35" authorId="0" shapeId="0" xr:uid="{00000000-0006-0000-2900-000002000000}">
      <text>
        <r>
          <rPr>
            <sz val="9"/>
            <color indexed="81"/>
            <rFont val="Tahoma"/>
            <family val="2"/>
          </rPr>
          <t>Balancing figure from Presentation</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D41" authorId="0" shapeId="0" xr:uid="{D1FBA0DB-536F-4459-8225-C0A6C7F64E2E}">
      <text>
        <r>
          <rPr>
            <sz val="9"/>
            <color indexed="81"/>
            <rFont val="Tahoma"/>
            <family val="2"/>
          </rPr>
          <t>PF for redemption of $1,200.0 Notes due 2022</t>
        </r>
      </text>
    </comment>
    <comment ref="D44" authorId="0" shapeId="0" xr:uid="{8F735F17-33A3-42B5-966C-0256D5ABFBD8}">
      <text>
        <r>
          <rPr>
            <sz val="9"/>
            <color indexed="81"/>
            <rFont val="Tahoma"/>
            <family val="2"/>
          </rPr>
          <t>PF for redemption of $1,200.0 Notes due 2022</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Parikshit Marathe</author>
    <author>Deepak Rawat</author>
  </authors>
  <commentList>
    <comment ref="B22" authorId="0" shapeId="0" xr:uid="{00000000-0006-0000-2B00-000001000000}">
      <text>
        <r>
          <rPr>
            <sz val="8"/>
            <color indexed="81"/>
            <rFont val="Tahoma"/>
            <family val="2"/>
          </rPr>
          <t>Calculated</t>
        </r>
      </text>
    </comment>
    <comment ref="B39" authorId="1" shapeId="0" xr:uid="{00000000-0006-0000-2B00-000002000000}">
      <text>
        <r>
          <rPr>
            <sz val="8"/>
            <color indexed="81"/>
            <rFont val="Tahoma"/>
            <family val="2"/>
          </rPr>
          <t>Assumed to be the same as PF of Last Quarter due to lack of information</t>
        </r>
      </text>
    </comment>
    <comment ref="C39" authorId="1" shapeId="0" xr:uid="{00000000-0006-0000-2B00-000003000000}">
      <text>
        <r>
          <rPr>
            <sz val="8"/>
            <color indexed="81"/>
            <rFont val="Tahoma"/>
            <family val="2"/>
          </rPr>
          <t xml:space="preserve">Pro Forma
</t>
        </r>
      </text>
    </comment>
    <comment ref="B40" authorId="1" shapeId="0" xr:uid="{00000000-0006-0000-2B00-000004000000}">
      <text>
        <r>
          <rPr>
            <sz val="8"/>
            <color indexed="81"/>
            <rFont val="Tahoma"/>
            <family val="2"/>
          </rPr>
          <t>Assumed to be the same as PF of Last Quarter due to lack of information</t>
        </r>
      </text>
    </comment>
    <comment ref="C40" authorId="1" shapeId="0" xr:uid="{00000000-0006-0000-2B00-000005000000}">
      <text>
        <r>
          <rPr>
            <sz val="8"/>
            <color indexed="81"/>
            <rFont val="Tahoma"/>
            <family val="2"/>
          </rPr>
          <t xml:space="preserve">Pro Forma
</t>
        </r>
      </text>
    </comment>
    <comment ref="B41" authorId="1" shapeId="0" xr:uid="{00000000-0006-0000-2B00-000006000000}">
      <text>
        <r>
          <rPr>
            <sz val="8"/>
            <color indexed="81"/>
            <rFont val="Tahoma"/>
            <family val="2"/>
          </rPr>
          <t>Assumed to be the same as PF of Last Quarter due to lack of information</t>
        </r>
      </text>
    </comment>
    <comment ref="C41" authorId="1" shapeId="0" xr:uid="{00000000-0006-0000-2B00-000007000000}">
      <text>
        <r>
          <rPr>
            <sz val="8"/>
            <color indexed="81"/>
            <rFont val="Tahoma"/>
            <family val="2"/>
          </rPr>
          <t xml:space="preserve">Pro Forma
</t>
        </r>
      </text>
    </comment>
    <comment ref="C42" authorId="1" shapeId="0" xr:uid="{00000000-0006-0000-2B00-000008000000}">
      <text>
        <r>
          <rPr>
            <sz val="8"/>
            <color indexed="81"/>
            <rFont val="Tahoma"/>
            <family val="2"/>
          </rPr>
          <t xml:space="preserve">Pro Forma
</t>
        </r>
      </text>
    </comment>
    <comment ref="C44" authorId="1" shapeId="0" xr:uid="{00000000-0006-0000-2B00-000009000000}">
      <text>
        <r>
          <rPr>
            <sz val="8"/>
            <color indexed="81"/>
            <rFont val="Tahoma"/>
            <family val="2"/>
          </rPr>
          <t xml:space="preserve">Pro Forma
</t>
        </r>
      </text>
    </comment>
    <comment ref="B47" authorId="1" shapeId="0" xr:uid="{00000000-0006-0000-2B00-00000A000000}">
      <text>
        <r>
          <rPr>
            <sz val="8"/>
            <color indexed="81"/>
            <rFont val="Tahoma"/>
            <family val="2"/>
          </rPr>
          <t>Calculated</t>
        </r>
      </text>
    </comment>
    <comment ref="C47" authorId="1" shapeId="0" xr:uid="{00000000-0006-0000-2B00-00000B000000}">
      <text>
        <r>
          <rPr>
            <sz val="8"/>
            <color indexed="81"/>
            <rFont val="Tahoma"/>
            <family val="2"/>
          </rPr>
          <t xml:space="preserve">Pro Forma
</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A12" authorId="0" shapeId="0" xr:uid="{00000000-0006-0000-2C00-000001000000}">
      <text>
        <r>
          <rPr>
            <sz val="8"/>
            <color indexed="81"/>
            <rFont val="Tahoma"/>
            <family val="2"/>
          </rPr>
          <t>Group Revenue at constant currency</t>
        </r>
      </text>
    </comment>
    <comment ref="A16" authorId="0" shapeId="0" xr:uid="{00000000-0006-0000-2C00-000002000000}">
      <text>
        <r>
          <rPr>
            <sz val="8"/>
            <color indexed="81"/>
            <rFont val="Tahoma"/>
            <family val="2"/>
          </rPr>
          <t>Adjusted Group EBITDA</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B12" authorId="0" shapeId="0" xr:uid="{00000000-0006-0000-2D00-000001000000}">
      <text>
        <r>
          <rPr>
            <sz val="8"/>
            <color indexed="81"/>
            <rFont val="Tahoma"/>
            <family val="2"/>
          </rPr>
          <t>Post Divesture Numbers PF</t>
        </r>
      </text>
    </comment>
    <comment ref="C12" authorId="0" shapeId="0" xr:uid="{00000000-0006-0000-2D00-000002000000}">
      <text>
        <r>
          <rPr>
            <sz val="8"/>
            <color indexed="81"/>
            <rFont val="Tahoma"/>
            <family val="2"/>
          </rPr>
          <t>YTD Dec 2018 - YTD Sept 2018</t>
        </r>
      </text>
    </comment>
    <comment ref="F12" authorId="0" shapeId="0" xr:uid="{00000000-0006-0000-2D00-000003000000}">
      <text>
        <r>
          <rPr>
            <sz val="8"/>
            <color indexed="81"/>
            <rFont val="Tahoma"/>
            <family val="2"/>
          </rPr>
          <t>Post Divesture Numbers PF</t>
        </r>
      </text>
    </comment>
    <comment ref="G12" authorId="0" shapeId="0" xr:uid="{00000000-0006-0000-2D00-000004000000}">
      <text>
        <r>
          <rPr>
            <sz val="8"/>
            <color indexed="81"/>
            <rFont val="Tahoma"/>
            <family val="2"/>
          </rPr>
          <t>YTD Dec 2017 - YTD Sept 2017</t>
        </r>
      </text>
    </comment>
    <comment ref="B22" authorId="0" shapeId="0" xr:uid="{00000000-0006-0000-2D00-000005000000}">
      <text>
        <r>
          <rPr>
            <sz val="8"/>
            <color indexed="81"/>
            <rFont val="Tahoma"/>
            <family val="2"/>
          </rPr>
          <t>New 1Q19 EBITDA after discontinuation</t>
        </r>
      </text>
    </comment>
    <comment ref="C22" authorId="0" shapeId="0" xr:uid="{00000000-0006-0000-2D00-000006000000}">
      <text>
        <r>
          <rPr>
            <sz val="8"/>
            <color indexed="81"/>
            <rFont val="Tahoma"/>
            <family val="2"/>
          </rPr>
          <t>New 4Q18 EBITDA after discontinuation</t>
        </r>
      </text>
    </comment>
    <comment ref="F22" authorId="0" shapeId="0" xr:uid="{00000000-0006-0000-2D00-000007000000}">
      <text>
        <r>
          <rPr>
            <sz val="8"/>
            <color indexed="81"/>
            <rFont val="Tahoma"/>
            <family val="2"/>
          </rPr>
          <t>New 1Q18 EBITDA after discontinuation</t>
        </r>
      </text>
    </comment>
    <comment ref="G22" authorId="0" shapeId="0" xr:uid="{00000000-0006-0000-2D00-000008000000}">
      <text>
        <r>
          <rPr>
            <sz val="8"/>
            <color indexed="81"/>
            <rFont val="Tahoma"/>
            <family val="2"/>
          </rPr>
          <t>New 4Q17 EBITDA after discontinuation</t>
        </r>
      </text>
    </comment>
    <comment ref="D24" authorId="0" shapeId="0" xr:uid="{00000000-0006-0000-2D00-000009000000}">
      <text>
        <r>
          <rPr>
            <sz val="8"/>
            <color indexed="81"/>
            <rFont val="Tahoma"/>
            <family val="2"/>
          </rPr>
          <t>Pasted as values to avoid LTM changes</t>
        </r>
      </text>
    </comment>
    <comment ref="E24" authorId="0" shapeId="0" xr:uid="{00000000-0006-0000-2D00-00000A000000}">
      <text>
        <r>
          <rPr>
            <sz val="8"/>
            <color indexed="81"/>
            <rFont val="Tahoma"/>
            <family val="2"/>
          </rPr>
          <t>Pasted as values to avoid LTM changes</t>
        </r>
      </text>
    </comment>
    <comment ref="F24" authorId="0" shapeId="0" xr:uid="{00000000-0006-0000-2D00-00000B000000}">
      <text>
        <r>
          <rPr>
            <sz val="8"/>
            <color indexed="81"/>
            <rFont val="Tahoma"/>
            <family val="2"/>
          </rPr>
          <t>Pasted as values to avoid LTM changes</t>
        </r>
      </text>
    </comment>
    <comment ref="G24" authorId="0" shapeId="0" xr:uid="{00000000-0006-0000-2D00-00000C000000}">
      <text>
        <r>
          <rPr>
            <sz val="8"/>
            <color indexed="81"/>
            <rFont val="Tahoma"/>
            <family val="2"/>
          </rPr>
          <t>Pasted as values to avoid LTM changes</t>
        </r>
      </text>
    </comment>
    <comment ref="B26" authorId="0" shapeId="0" xr:uid="{00000000-0006-0000-2D00-00000D000000}">
      <text>
        <r>
          <rPr>
            <sz val="8"/>
            <color indexed="81"/>
            <rFont val="Tahoma"/>
            <family val="2"/>
          </rPr>
          <t>Difference due to discontinued operations</t>
        </r>
      </text>
    </comment>
    <comment ref="C26" authorId="0" shapeId="0" xr:uid="{00000000-0006-0000-2D00-00000E000000}">
      <text>
        <r>
          <rPr>
            <sz val="8"/>
            <color indexed="81"/>
            <rFont val="Tahoma"/>
            <family val="2"/>
          </rPr>
          <t>Difference due to discontinued operations</t>
        </r>
      </text>
    </comment>
    <comment ref="B35" authorId="0" shapeId="0" xr:uid="{00000000-0006-0000-2D00-00000F000000}">
      <text>
        <r>
          <rPr>
            <sz val="8"/>
            <color indexed="81"/>
            <rFont val="Tahoma"/>
            <family val="2"/>
          </rPr>
          <t>Post Divesture Numbers PF</t>
        </r>
      </text>
    </comment>
    <comment ref="C35" authorId="0" shapeId="0" xr:uid="{00000000-0006-0000-2D00-000010000000}">
      <text>
        <r>
          <rPr>
            <sz val="8"/>
            <color indexed="81"/>
            <rFont val="Tahoma"/>
            <family val="2"/>
          </rPr>
          <t>YTD Dec 2018 - YTD Sept 2018</t>
        </r>
      </text>
    </comment>
    <comment ref="D35" authorId="0" shapeId="0" xr:uid="{00000000-0006-0000-2D00-000011000000}">
      <text>
        <r>
          <rPr>
            <sz val="8"/>
            <color indexed="81"/>
            <rFont val="Tahoma"/>
            <family val="2"/>
          </rPr>
          <t>Continuing + Discontinuing due to capex changes</t>
        </r>
      </text>
    </comment>
    <comment ref="F35" authorId="0" shapeId="0" xr:uid="{00000000-0006-0000-2D00-000012000000}">
      <text>
        <r>
          <rPr>
            <sz val="8"/>
            <color indexed="81"/>
            <rFont val="Tahoma"/>
            <family val="2"/>
          </rPr>
          <t>Post Divesture Numbers PF</t>
        </r>
      </text>
    </comment>
    <comment ref="G35" authorId="0" shapeId="0" xr:uid="{00000000-0006-0000-2D00-000013000000}">
      <text>
        <r>
          <rPr>
            <sz val="8"/>
            <color indexed="81"/>
            <rFont val="Tahoma"/>
            <family val="2"/>
          </rPr>
          <t>YTD Dec 2017 - YTD Sept 2017</t>
        </r>
      </text>
    </comment>
    <comment ref="B36" authorId="0" shapeId="0" xr:uid="{00000000-0006-0000-2D00-000014000000}">
      <text>
        <r>
          <rPr>
            <sz val="8"/>
            <color indexed="81"/>
            <rFont val="Tahoma"/>
            <family val="2"/>
          </rPr>
          <t>Post Divesture Numbers PF</t>
        </r>
      </text>
    </comment>
    <comment ref="C36" authorId="0" shapeId="0" xr:uid="{00000000-0006-0000-2D00-000015000000}">
      <text>
        <r>
          <rPr>
            <sz val="8"/>
            <color indexed="81"/>
            <rFont val="Tahoma"/>
            <family val="2"/>
          </rPr>
          <t>YTD Dec 2018 - YTD Sept 2018</t>
        </r>
      </text>
    </comment>
    <comment ref="F36" authorId="0" shapeId="0" xr:uid="{00000000-0006-0000-2D00-000016000000}">
      <text>
        <r>
          <rPr>
            <sz val="8"/>
            <color indexed="81"/>
            <rFont val="Tahoma"/>
            <family val="2"/>
          </rPr>
          <t>Post Divesture Numbers PF</t>
        </r>
      </text>
    </comment>
    <comment ref="G36" authorId="0" shapeId="0" xr:uid="{00000000-0006-0000-2D00-000017000000}">
      <text>
        <r>
          <rPr>
            <sz val="8"/>
            <color indexed="81"/>
            <rFont val="Tahoma"/>
            <family val="2"/>
          </rPr>
          <t>YTD Dec 2017 - YTD Sept 2017</t>
        </r>
      </text>
    </comment>
    <comment ref="D37" authorId="0" shapeId="0" xr:uid="{00000000-0006-0000-2D00-000018000000}">
      <text>
        <r>
          <rPr>
            <sz val="8"/>
            <color indexed="81"/>
            <rFont val="Tahoma"/>
            <family val="2"/>
          </rPr>
          <t>3Q18 and 2Q18 FCF nos are pasted as values because of changes in 1Q18 nos after discontinuation</t>
        </r>
      </text>
    </comment>
    <comment ref="C46" authorId="0" shapeId="0" xr:uid="{00000000-0006-0000-2D00-000019000000}">
      <text>
        <r>
          <rPr>
            <sz val="8"/>
            <color indexed="81"/>
            <rFont val="Tahoma"/>
            <family val="2"/>
          </rPr>
          <t>New 2018 number after discontinuation</t>
        </r>
      </text>
    </comment>
    <comment ref="D46" authorId="0" shapeId="0" xr:uid="{00000000-0006-0000-2D00-00001A000000}">
      <text>
        <r>
          <rPr>
            <sz val="8"/>
            <color indexed="81"/>
            <rFont val="Tahoma"/>
            <family val="2"/>
          </rPr>
          <t>Pasted as values to avoid LTM changes</t>
        </r>
      </text>
    </comment>
    <comment ref="C47" authorId="0" shapeId="0" xr:uid="{00000000-0006-0000-2D00-00001B000000}">
      <text>
        <r>
          <rPr>
            <sz val="8"/>
            <color indexed="81"/>
            <rFont val="Tahoma"/>
            <family val="2"/>
          </rPr>
          <t>New 2018 number after discontinuation</t>
        </r>
      </text>
    </comment>
    <comment ref="C48" authorId="0" shapeId="0" xr:uid="{00000000-0006-0000-2D00-00001C000000}">
      <text>
        <r>
          <rPr>
            <sz val="8"/>
            <color indexed="81"/>
            <rFont val="Tahoma"/>
            <family val="2"/>
          </rPr>
          <t>New 2018 number after discontinuation</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C12" authorId="0" shapeId="0" xr:uid="{57395E80-7A18-4003-AF84-85E092804DDA}">
      <text>
        <r>
          <rPr>
            <sz val="9"/>
            <color indexed="81"/>
            <rFont val="Tahoma"/>
            <family val="2"/>
          </rPr>
          <t>PF</t>
        </r>
      </text>
    </comment>
    <comment ref="G12" authorId="0" shapeId="0" xr:uid="{88618388-CB4C-407C-90F8-387F08BB8187}">
      <text>
        <r>
          <rPr>
            <sz val="9"/>
            <color indexed="81"/>
            <rFont val="Tahoma"/>
            <family val="2"/>
          </rPr>
          <t>PF</t>
        </r>
      </text>
    </comment>
    <comment ref="C13" authorId="0" shapeId="0" xr:uid="{4FCB8056-4A97-4ABE-9F9F-09B001D0FB4A}">
      <text>
        <r>
          <rPr>
            <sz val="9"/>
            <color indexed="81"/>
            <rFont val="Tahoma"/>
            <family val="2"/>
          </rPr>
          <t>PF</t>
        </r>
      </text>
    </comment>
    <comment ref="C16" authorId="0" shapeId="0" xr:uid="{1267CDC7-FDC7-4F78-99C4-0D1B9E0B0864}">
      <text>
        <r>
          <rPr>
            <sz val="9"/>
            <color indexed="81"/>
            <rFont val="Tahoma"/>
            <family val="2"/>
          </rPr>
          <t>PF</t>
        </r>
      </text>
    </comment>
    <comment ref="G16" authorId="0" shapeId="0" xr:uid="{1F463A31-46B5-4E69-B79A-4F3D2500FA8C}">
      <text>
        <r>
          <rPr>
            <sz val="9"/>
            <color indexed="81"/>
            <rFont val="Tahoma"/>
            <family val="2"/>
          </rPr>
          <t>PF</t>
        </r>
      </text>
    </comment>
    <comment ref="M25" authorId="0" shapeId="0" xr:uid="{00000000-0006-0000-2F00-000001000000}">
      <text>
        <r>
          <rPr>
            <sz val="8"/>
            <color indexed="81"/>
            <rFont val="Tahoma"/>
            <family val="2"/>
          </rPr>
          <t>Synergy</t>
        </r>
      </text>
    </comment>
    <comment ref="M39" authorId="0" shapeId="0" xr:uid="{00000000-0006-0000-2F00-000002000000}">
      <text>
        <r>
          <rPr>
            <sz val="8"/>
            <color indexed="81"/>
            <rFont val="Tahoma"/>
            <family val="2"/>
          </rPr>
          <t>Pro Forma</t>
        </r>
      </text>
    </comment>
    <comment ref="O39" authorId="0" shapeId="0" xr:uid="{00000000-0006-0000-2F00-000003000000}">
      <text>
        <r>
          <rPr>
            <sz val="8"/>
            <color indexed="81"/>
            <rFont val="Tahoma"/>
            <family val="2"/>
          </rPr>
          <t>Pro Forma</t>
        </r>
      </text>
    </comment>
    <comment ref="M40" authorId="0" shapeId="0" xr:uid="{00000000-0006-0000-2F00-000004000000}">
      <text>
        <r>
          <rPr>
            <sz val="8"/>
            <color indexed="81"/>
            <rFont val="Tahoma"/>
            <family val="2"/>
          </rPr>
          <t>Pro Forma</t>
        </r>
      </text>
    </comment>
    <comment ref="O40" authorId="0" shapeId="0" xr:uid="{00000000-0006-0000-2F00-000005000000}">
      <text>
        <r>
          <rPr>
            <sz val="8"/>
            <color indexed="81"/>
            <rFont val="Tahoma"/>
            <family val="2"/>
          </rPr>
          <t>Pro Forma</t>
        </r>
      </text>
    </comment>
    <comment ref="M41" authorId="0" shapeId="0" xr:uid="{00000000-0006-0000-2F00-000006000000}">
      <text>
        <r>
          <rPr>
            <sz val="8"/>
            <color indexed="81"/>
            <rFont val="Tahoma"/>
            <family val="2"/>
          </rPr>
          <t>Pro Forma</t>
        </r>
      </text>
    </comment>
    <comment ref="O41" authorId="0" shapeId="0" xr:uid="{00000000-0006-0000-2F00-000007000000}">
      <text>
        <r>
          <rPr>
            <sz val="8"/>
            <color indexed="81"/>
            <rFont val="Tahoma"/>
            <family val="2"/>
          </rPr>
          <t>Pro Forma</t>
        </r>
      </text>
    </comment>
    <comment ref="M42" authorId="0" shapeId="0" xr:uid="{00000000-0006-0000-2F00-000008000000}">
      <text>
        <r>
          <rPr>
            <sz val="8"/>
            <color indexed="81"/>
            <rFont val="Tahoma"/>
            <family val="2"/>
          </rPr>
          <t>Pro Forma</t>
        </r>
      </text>
    </comment>
    <comment ref="O42" authorId="0" shapeId="0" xr:uid="{00000000-0006-0000-2F00-000009000000}">
      <text>
        <r>
          <rPr>
            <sz val="8"/>
            <color indexed="81"/>
            <rFont val="Tahoma"/>
            <family val="2"/>
          </rPr>
          <t>Pro Forma</t>
        </r>
      </text>
    </comment>
    <comment ref="M44" authorId="0" shapeId="0" xr:uid="{00000000-0006-0000-2F00-00000A000000}">
      <text>
        <r>
          <rPr>
            <sz val="8"/>
            <color indexed="81"/>
            <rFont val="Tahoma"/>
            <family val="2"/>
          </rPr>
          <t>Pro Forma</t>
        </r>
      </text>
    </comment>
    <comment ref="O44" authorId="0" shapeId="0" xr:uid="{00000000-0006-0000-2F00-00000B000000}">
      <text>
        <r>
          <rPr>
            <sz val="8"/>
            <color indexed="81"/>
            <rFont val="Tahoma"/>
            <family val="2"/>
          </rPr>
          <t>Pro Forma</t>
        </r>
      </text>
    </comment>
    <comment ref="M47" authorId="0" shapeId="0" xr:uid="{00000000-0006-0000-2F00-00000C000000}">
      <text>
        <r>
          <rPr>
            <sz val="8"/>
            <color indexed="81"/>
            <rFont val="Tahoma"/>
            <family val="2"/>
          </rPr>
          <t>Pro Forma</t>
        </r>
      </text>
    </comment>
    <comment ref="O47" authorId="0" shapeId="0" xr:uid="{00000000-0006-0000-2F00-00000D000000}">
      <text>
        <r>
          <rPr>
            <sz val="8"/>
            <color indexed="81"/>
            <rFont val="Tahoma"/>
            <family val="2"/>
          </rPr>
          <t>Pro Forma</t>
        </r>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H25" authorId="0" shapeId="0" xr:uid="{00000000-0006-0000-3000-000001000000}">
      <text>
        <r>
          <rPr>
            <sz val="8"/>
            <color indexed="81"/>
            <rFont val="Tahoma"/>
            <family val="2"/>
          </rPr>
          <t>Assumed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B12" authorId="0" shapeId="0" xr:uid="{62A841C6-257F-45DF-8008-79B9D53C06B8}">
      <text>
        <r>
          <rPr>
            <sz val="9"/>
            <color indexed="81"/>
            <rFont val="Tahoma"/>
            <family val="2"/>
          </rPr>
          <t>Excluding gain on disposal</t>
        </r>
      </text>
    </comment>
    <comment ref="C12" authorId="0" shapeId="0" xr:uid="{DDF05ECE-3427-4E74-BD72-C50F6003849A}">
      <text>
        <r>
          <rPr>
            <sz val="9"/>
            <color indexed="81"/>
            <rFont val="Tahoma"/>
            <family val="2"/>
          </rPr>
          <t>Excluding gain on disposal</t>
        </r>
      </text>
    </comment>
    <comment ref="D12" authorId="0" shapeId="0" xr:uid="{FC254065-42D5-404F-BDB5-12C53CAFB67C}">
      <text>
        <r>
          <rPr>
            <sz val="9"/>
            <color indexed="81"/>
            <rFont val="Tahoma"/>
            <family val="2"/>
          </rPr>
          <t>Excluding gain on disposal</t>
        </r>
      </text>
    </comment>
    <comment ref="F12" authorId="0" shapeId="0" xr:uid="{339D5D03-5827-4A74-AC46-56317D950B53}">
      <text>
        <r>
          <rPr>
            <sz val="9"/>
            <color indexed="81"/>
            <rFont val="Tahoma"/>
            <family val="2"/>
          </rPr>
          <t>Excluding gain on disposal</t>
        </r>
      </text>
    </comment>
    <comment ref="G12" authorId="0" shapeId="0" xr:uid="{5E840243-D21A-4372-934F-9FDC391DE7E9}">
      <text>
        <r>
          <rPr>
            <sz val="9"/>
            <color indexed="81"/>
            <rFont val="Tahoma"/>
            <family val="2"/>
          </rPr>
          <t>Excluding gain on disposal</t>
        </r>
      </text>
    </comment>
    <comment ref="H12" authorId="0" shapeId="0" xr:uid="{DB2CC09F-DC9F-4390-9D09-FF05A21EC14B}">
      <text>
        <r>
          <rPr>
            <sz val="9"/>
            <color indexed="81"/>
            <rFont val="Tahoma"/>
            <family val="2"/>
          </rPr>
          <t>Excluding gain on disposal</t>
        </r>
      </text>
    </comment>
    <comment ref="A42" authorId="0" shapeId="0" xr:uid="{00000000-0006-0000-0600-000001000000}">
      <text>
        <r>
          <rPr>
            <sz val="8"/>
            <color indexed="81"/>
            <rFont val="Tahoma"/>
            <family val="2"/>
          </rPr>
          <t>BV of Equity</t>
        </r>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G16" authorId="0" shapeId="0" xr:uid="{A93081C1-6828-44EB-BC98-33000C7A1D17}">
      <text>
        <r>
          <rPr>
            <sz val="9"/>
            <color indexed="81"/>
            <rFont val="Tahoma"/>
            <family val="2"/>
          </rPr>
          <t>PF</t>
        </r>
      </text>
    </comment>
    <comment ref="N39" authorId="0" shapeId="0" xr:uid="{00000000-0006-0000-3100-000001000000}">
      <text>
        <r>
          <rPr>
            <sz val="8"/>
            <color indexed="81"/>
            <rFont val="Tahoma"/>
            <family val="2"/>
          </rPr>
          <t>Pro Forma</t>
        </r>
      </text>
    </comment>
    <comment ref="O39" authorId="0" shapeId="0" xr:uid="{00000000-0006-0000-3100-000002000000}">
      <text>
        <r>
          <rPr>
            <sz val="8"/>
            <color indexed="81"/>
            <rFont val="Tahoma"/>
            <family val="2"/>
          </rPr>
          <t>Pro Forma</t>
        </r>
      </text>
    </comment>
    <comment ref="N40" authorId="0" shapeId="0" xr:uid="{00000000-0006-0000-3100-000003000000}">
      <text>
        <r>
          <rPr>
            <sz val="8"/>
            <color indexed="81"/>
            <rFont val="Tahoma"/>
            <family val="2"/>
          </rPr>
          <t>Pro Forma</t>
        </r>
      </text>
    </comment>
    <comment ref="O40" authorId="0" shapeId="0" xr:uid="{00000000-0006-0000-3100-000004000000}">
      <text>
        <r>
          <rPr>
            <sz val="8"/>
            <color indexed="81"/>
            <rFont val="Tahoma"/>
            <family val="2"/>
          </rPr>
          <t>Pro Forma</t>
        </r>
      </text>
    </comment>
    <comment ref="N41" authorId="0" shapeId="0" xr:uid="{00000000-0006-0000-3100-000005000000}">
      <text>
        <r>
          <rPr>
            <sz val="8"/>
            <color indexed="81"/>
            <rFont val="Tahoma"/>
            <family val="2"/>
          </rPr>
          <t>Pro Forma</t>
        </r>
      </text>
    </comment>
    <comment ref="O41" authorId="0" shapeId="0" xr:uid="{00000000-0006-0000-3100-000006000000}">
      <text>
        <r>
          <rPr>
            <sz val="8"/>
            <color indexed="81"/>
            <rFont val="Tahoma"/>
            <family val="2"/>
          </rPr>
          <t>Pro Forma</t>
        </r>
      </text>
    </comment>
    <comment ref="N42" authorId="0" shapeId="0" xr:uid="{00000000-0006-0000-3100-000007000000}">
      <text>
        <r>
          <rPr>
            <sz val="8"/>
            <color indexed="81"/>
            <rFont val="Tahoma"/>
            <family val="2"/>
          </rPr>
          <t>Pro Forma</t>
        </r>
      </text>
    </comment>
    <comment ref="O42" authorId="0" shapeId="0" xr:uid="{00000000-0006-0000-3100-000008000000}">
      <text>
        <r>
          <rPr>
            <sz val="8"/>
            <color indexed="81"/>
            <rFont val="Tahoma"/>
            <family val="2"/>
          </rPr>
          <t>Pro Forma</t>
        </r>
      </text>
    </comment>
    <comment ref="N44" authorId="0" shapeId="0" xr:uid="{00000000-0006-0000-3100-000009000000}">
      <text>
        <r>
          <rPr>
            <sz val="8"/>
            <color indexed="81"/>
            <rFont val="Tahoma"/>
            <family val="2"/>
          </rPr>
          <t>Pro Forma</t>
        </r>
      </text>
    </comment>
    <comment ref="O44" authorId="0" shapeId="0" xr:uid="{00000000-0006-0000-3100-00000A000000}">
      <text>
        <r>
          <rPr>
            <sz val="8"/>
            <color indexed="81"/>
            <rFont val="Tahoma"/>
            <family val="2"/>
          </rPr>
          <t>Pro Forma</t>
        </r>
      </text>
    </comment>
    <comment ref="O47" authorId="0" shapeId="0" xr:uid="{00000000-0006-0000-3100-00000B000000}">
      <text>
        <r>
          <rPr>
            <sz val="8"/>
            <color indexed="81"/>
            <rFont val="Tahoma"/>
            <family val="2"/>
          </rPr>
          <t>Pro Forma</t>
        </r>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R12" authorId="0" shapeId="0" xr:uid="{00000000-0006-0000-3200-000001000000}">
      <text>
        <r>
          <rPr>
            <sz val="8"/>
            <color indexed="81"/>
            <rFont val="Tahoma"/>
            <family val="2"/>
          </rPr>
          <t>9M -Q1- Q3</t>
        </r>
      </text>
    </comment>
    <comment ref="D16" authorId="0" shapeId="0" xr:uid="{544D1B8F-84B7-41D0-99E7-6F0567E50013}">
      <text>
        <r>
          <rPr>
            <sz val="9"/>
            <color indexed="81"/>
            <rFont val="Tahoma"/>
            <family val="2"/>
          </rPr>
          <t>Adjusted EBITDA not consolidated EBITDA</t>
        </r>
      </text>
    </comment>
    <comment ref="E16" authorId="0" shapeId="0" xr:uid="{DB0ACA6F-78F8-4503-918B-ACFBAD72E75D}">
      <text>
        <r>
          <rPr>
            <sz val="9"/>
            <color indexed="81"/>
            <rFont val="Tahoma"/>
            <family val="2"/>
          </rPr>
          <t>Adjusted EBITDA not consolidated EBITDA</t>
        </r>
      </text>
    </comment>
    <comment ref="F16" authorId="0" shapeId="0" xr:uid="{E8043D10-7349-4CB0-BAD7-6C899CAABBA1}">
      <text>
        <r>
          <rPr>
            <sz val="9"/>
            <color indexed="81"/>
            <rFont val="Tahoma"/>
            <family val="2"/>
          </rPr>
          <t>Adjusted EBITDA not consolidated EBITDA</t>
        </r>
      </text>
    </comment>
    <comment ref="G16" authorId="0" shapeId="0" xr:uid="{1509EAC0-2A62-44A8-A684-611FC874DFDE}">
      <text>
        <r>
          <rPr>
            <sz val="9"/>
            <color indexed="81"/>
            <rFont val="Tahoma"/>
            <family val="2"/>
          </rPr>
          <t>Adjusted EBITDA not consolidated EBITDA</t>
        </r>
      </text>
    </comment>
    <comment ref="H16" authorId="0" shapeId="0" xr:uid="{55B1F164-4906-49A1-8D5E-418E7430FDDC}">
      <text>
        <r>
          <rPr>
            <sz val="9"/>
            <color indexed="81"/>
            <rFont val="Tahoma"/>
            <family val="2"/>
          </rPr>
          <t>Adjusted EBITDA not consolidated EBITDA</t>
        </r>
      </text>
    </comment>
    <comment ref="I16" authorId="0" shapeId="0" xr:uid="{3A03B640-9A23-4573-8630-5A29604A64A6}">
      <text>
        <r>
          <rPr>
            <sz val="9"/>
            <color indexed="81"/>
            <rFont val="Tahoma"/>
            <family val="2"/>
          </rPr>
          <t>Adjusted EBITDA not consolidated EBITDA</t>
        </r>
      </text>
    </comment>
    <comment ref="J16" authorId="0" shapeId="0" xr:uid="{B83F1DCB-9E0F-46E0-9663-FBEB90D90859}">
      <text>
        <r>
          <rPr>
            <sz val="9"/>
            <color indexed="81"/>
            <rFont val="Tahoma"/>
            <family val="2"/>
          </rPr>
          <t>Adjusted EBITDA not consolidated EBITDA</t>
        </r>
      </text>
    </comment>
    <comment ref="K16" authorId="0" shapeId="0" xr:uid="{6A18DC76-8746-40F3-A384-E3CBFECAE368}">
      <text>
        <r>
          <rPr>
            <sz val="9"/>
            <color indexed="81"/>
            <rFont val="Tahoma"/>
            <family val="2"/>
          </rPr>
          <t>Adjusted EBITDA not consolidated EBITDA</t>
        </r>
      </text>
    </comment>
    <comment ref="R16" authorId="0" shapeId="0" xr:uid="{00000000-0006-0000-3200-000002000000}">
      <text>
        <r>
          <rPr>
            <sz val="8"/>
            <color indexed="81"/>
            <rFont val="Tahoma"/>
            <family val="2"/>
          </rPr>
          <t>9M -Q1- Q3</t>
        </r>
      </text>
    </comment>
    <comment ref="B25" authorId="0" shapeId="0" xr:uid="{2467C94F-4FEF-4FA2-AB4D-49C52697F6F8}">
      <text>
        <r>
          <rPr>
            <sz val="9"/>
            <color indexed="81"/>
            <rFont val="Tahoma"/>
            <family val="2"/>
          </rPr>
          <t>PF LP</t>
        </r>
      </text>
    </comment>
    <comment ref="C25" authorId="0" shapeId="0" xr:uid="{78D0C84F-90C7-4951-931A-14C7B2F0402B}">
      <text>
        <r>
          <rPr>
            <sz val="9"/>
            <color indexed="81"/>
            <rFont val="Tahoma"/>
            <family val="2"/>
          </rPr>
          <t>Assumed to be the same</t>
        </r>
      </text>
    </comment>
    <comment ref="F25" authorId="0" shapeId="0" xr:uid="{CD5F2941-32A0-47CE-8692-F03D751BF376}">
      <text>
        <r>
          <rPr>
            <sz val="9"/>
            <color indexed="81"/>
            <rFont val="Tahoma"/>
            <family val="2"/>
          </rPr>
          <t>Assumed to be the same</t>
        </r>
      </text>
    </comment>
    <comment ref="B26" authorId="0" shapeId="0" xr:uid="{32118127-2174-4209-8A44-EC470E6791AA}">
      <text>
        <r>
          <rPr>
            <sz val="9"/>
            <color indexed="81"/>
            <rFont val="Tahoma"/>
            <family val="2"/>
          </rPr>
          <t>PF LP</t>
        </r>
      </text>
    </comment>
    <comment ref="B39" authorId="0" shapeId="0" xr:uid="{4B11F82D-BC08-4614-8178-494A54921C7A}">
      <text>
        <r>
          <rPr>
            <sz val="9"/>
            <color indexed="81"/>
            <rFont val="Tahoma"/>
            <family val="2"/>
          </rPr>
          <t>PF LP</t>
        </r>
      </text>
    </comment>
    <comment ref="B40" authorId="0" shapeId="0" xr:uid="{D915AA6A-2656-4A56-9E84-A65E160F90F9}">
      <text>
        <r>
          <rPr>
            <sz val="9"/>
            <color indexed="81"/>
            <rFont val="Tahoma"/>
            <family val="2"/>
          </rPr>
          <t>PF LP</t>
        </r>
      </text>
    </comment>
    <comment ref="M40" authorId="0" shapeId="0" xr:uid="{00000000-0006-0000-3200-000003000000}">
      <text>
        <r>
          <rPr>
            <sz val="8"/>
            <color indexed="81"/>
            <rFont val="Tahoma"/>
            <family val="2"/>
          </rPr>
          <t>First Lien upsized from $570mm to $583mm
Second lien downsized from $125mm to $115m</t>
        </r>
      </text>
    </comment>
    <comment ref="N40" authorId="0" shapeId="0" xr:uid="{00000000-0006-0000-3200-000004000000}">
      <text>
        <r>
          <rPr>
            <sz val="8"/>
            <color indexed="81"/>
            <rFont val="Tahoma"/>
            <family val="2"/>
          </rPr>
          <t>First Lien upsized from $570mm to $583mm
Second lien downsized from $125mm to $115m</t>
        </r>
      </text>
    </comment>
    <comment ref="B41" authorId="0" shapeId="0" xr:uid="{E0D89EE3-6253-4360-8996-39C356B7963A}">
      <text>
        <r>
          <rPr>
            <sz val="9"/>
            <color indexed="81"/>
            <rFont val="Tahoma"/>
            <family val="2"/>
          </rPr>
          <t>PF LP</t>
        </r>
      </text>
    </comment>
    <comment ref="B42" authorId="0" shapeId="0" xr:uid="{98BB2C20-AA5D-4E31-8460-79C72D3798D5}">
      <text>
        <r>
          <rPr>
            <sz val="9"/>
            <color indexed="81"/>
            <rFont val="Tahoma"/>
            <family val="2"/>
          </rPr>
          <t>PF LP</t>
        </r>
      </text>
    </comment>
    <comment ref="B44" authorId="0" shapeId="0" xr:uid="{6F75935E-FDC6-42D8-B264-B42CEAF6A084}">
      <text>
        <r>
          <rPr>
            <sz val="9"/>
            <color indexed="81"/>
            <rFont val="Tahoma"/>
            <family val="2"/>
          </rPr>
          <t>PF LP</t>
        </r>
      </text>
    </comment>
    <comment ref="B46" authorId="0" shapeId="0" xr:uid="{81164942-E787-488F-9121-3C459696A7A0}">
      <text>
        <r>
          <rPr>
            <sz val="9"/>
            <color indexed="81"/>
            <rFont val="Tahoma"/>
            <family val="2"/>
          </rPr>
          <t>PF ECI + Omni + Promark (@0.8 cad to usd)</t>
        </r>
      </text>
    </comment>
    <comment ref="B48" authorId="0" shapeId="0" xr:uid="{AE3AD6A3-94F7-415E-9452-BB66C6A2674B}">
      <text>
        <r>
          <rPr>
            <sz val="9"/>
            <color indexed="81"/>
            <rFont val="Tahoma"/>
            <family val="2"/>
          </rPr>
          <t>PF LP</t>
        </r>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A12" authorId="0" shapeId="0" xr:uid="{00000000-0006-0000-3300-000001000000}">
      <text>
        <r>
          <rPr>
            <sz val="8"/>
            <color indexed="81"/>
            <rFont val="Tahoma"/>
            <family val="2"/>
          </rPr>
          <t>Gross Margin</t>
        </r>
      </text>
    </comment>
    <comment ref="M12" authorId="0" shapeId="0" xr:uid="{00000000-0006-0000-3300-000002000000}">
      <text>
        <r>
          <rPr>
            <sz val="8"/>
            <color indexed="81"/>
            <rFont val="Tahoma"/>
            <family val="2"/>
          </rPr>
          <t>June Gross Margin * 3 due to lack of information</t>
        </r>
      </text>
    </comment>
    <comment ref="M22" authorId="0" shapeId="0" xr:uid="{00000000-0006-0000-3300-000003000000}">
      <text>
        <r>
          <rPr>
            <sz val="8"/>
            <color indexed="81"/>
            <rFont val="Tahoma"/>
            <family val="2"/>
          </rPr>
          <t>Source: York Model</t>
        </r>
      </text>
    </comment>
    <comment ref="H25" authorId="0" shapeId="0" xr:uid="{00000000-0006-0000-3300-000004000000}">
      <text>
        <r>
          <rPr>
            <sz val="8"/>
            <color indexed="81"/>
            <rFont val="Tahoma"/>
            <family val="2"/>
          </rPr>
          <t>Source:  Compliance Certificate</t>
        </r>
      </text>
    </comment>
    <comment ref="I25" authorId="0" shapeId="0" xr:uid="{00000000-0006-0000-3300-000005000000}">
      <text>
        <r>
          <rPr>
            <sz val="8"/>
            <color indexed="81"/>
            <rFont val="Tahoma"/>
            <family val="2"/>
          </rPr>
          <t>Source:  Compliance Certificate</t>
        </r>
      </text>
    </comment>
    <comment ref="J25" authorId="0" shapeId="0" xr:uid="{00000000-0006-0000-3300-000006000000}">
      <text>
        <r>
          <rPr>
            <sz val="8"/>
            <color indexed="81"/>
            <rFont val="Tahoma"/>
            <family val="2"/>
          </rPr>
          <t>Source: York Model</t>
        </r>
      </text>
    </comment>
    <comment ref="K25" authorId="0" shapeId="0" xr:uid="{00000000-0006-0000-3300-000007000000}">
      <text>
        <r>
          <rPr>
            <sz val="8"/>
            <color indexed="81"/>
            <rFont val="Tahoma"/>
            <family val="2"/>
          </rPr>
          <t>Source: York Model</t>
        </r>
      </text>
    </comment>
    <comment ref="G35" authorId="0" shapeId="0" xr:uid="{00000000-0006-0000-3300-000008000000}">
      <text>
        <r>
          <rPr>
            <sz val="9"/>
            <color indexed="81"/>
            <rFont val="Tahoma"/>
            <family val="2"/>
          </rPr>
          <t>Reverse calculated from reported FCF</t>
        </r>
      </text>
    </comment>
    <comment ref="B37" authorId="0" shapeId="0" xr:uid="{523DFAD3-51BE-4FAE-859D-2A38BBFA80E6}">
      <text>
        <r>
          <rPr>
            <sz val="9"/>
            <color indexed="81"/>
            <rFont val="Tahoma"/>
            <family val="2"/>
          </rPr>
          <t>SYM</t>
        </r>
      </text>
    </comment>
    <comment ref="C37" authorId="0" shapeId="0" xr:uid="{DD35A229-256F-4A75-94C7-10DB74C6B9BC}">
      <text>
        <r>
          <rPr>
            <sz val="9"/>
            <color indexed="81"/>
            <rFont val="Tahoma"/>
            <family val="2"/>
          </rPr>
          <t>SYM</t>
        </r>
      </text>
    </comment>
    <comment ref="D37" authorId="0" shapeId="0" xr:uid="{6DFEF2CE-9E95-4D0F-9825-BE0334F783AC}">
      <text>
        <r>
          <rPr>
            <sz val="9"/>
            <color indexed="81"/>
            <rFont val="Tahoma"/>
            <family val="2"/>
          </rPr>
          <t>SYM</t>
        </r>
      </text>
    </comment>
    <comment ref="E37" authorId="0" shapeId="0" xr:uid="{B8D76D59-08AC-4655-8F4A-C786B1888326}">
      <text>
        <r>
          <rPr>
            <sz val="9"/>
            <color indexed="81"/>
            <rFont val="Tahoma"/>
            <family val="2"/>
          </rPr>
          <t>SYM</t>
        </r>
      </text>
    </comment>
    <comment ref="F37" authorId="0" shapeId="0" xr:uid="{74759BCB-F30D-4921-BE72-7D0396984C65}">
      <text>
        <r>
          <rPr>
            <sz val="9"/>
            <color indexed="81"/>
            <rFont val="Tahoma"/>
            <family val="2"/>
          </rPr>
          <t>SYM</t>
        </r>
      </text>
    </comment>
    <comment ref="H39" authorId="0" shapeId="0" xr:uid="{00000000-0006-0000-3300-000009000000}">
      <text>
        <r>
          <rPr>
            <sz val="9"/>
            <color indexed="81"/>
            <rFont val="Tahoma"/>
            <family val="2"/>
          </rPr>
          <t>Source: York Model</t>
        </r>
      </text>
    </comment>
    <comment ref="L39" authorId="0" shapeId="0" xr:uid="{00000000-0006-0000-3300-00000A000000}">
      <text>
        <r>
          <rPr>
            <sz val="8"/>
            <color indexed="81"/>
            <rFont val="Tahoma"/>
            <family val="2"/>
          </rPr>
          <t>Pro Forma</t>
        </r>
      </text>
    </comment>
    <comment ref="M39" authorId="0" shapeId="0" xr:uid="{00000000-0006-0000-3300-00000B000000}">
      <text>
        <r>
          <rPr>
            <sz val="8"/>
            <color indexed="81"/>
            <rFont val="Tahoma"/>
            <family val="2"/>
          </rPr>
          <t>Pro Forma</t>
        </r>
      </text>
    </comment>
    <comment ref="N39" authorId="0" shapeId="0" xr:uid="{00000000-0006-0000-3300-00000C000000}">
      <text>
        <r>
          <rPr>
            <sz val="8"/>
            <color indexed="81"/>
            <rFont val="Tahoma"/>
            <family val="2"/>
          </rPr>
          <t>Pro Forma</t>
        </r>
      </text>
    </comment>
    <comment ref="L40" authorId="0" shapeId="0" xr:uid="{00000000-0006-0000-3300-00000D000000}">
      <text>
        <r>
          <rPr>
            <sz val="8"/>
            <color indexed="81"/>
            <rFont val="Tahoma"/>
            <family val="2"/>
          </rPr>
          <t>Pro Forma</t>
        </r>
      </text>
    </comment>
    <comment ref="M40" authorId="0" shapeId="0" xr:uid="{00000000-0006-0000-3300-00000E000000}">
      <text>
        <r>
          <rPr>
            <sz val="8"/>
            <color indexed="81"/>
            <rFont val="Tahoma"/>
            <family val="2"/>
          </rPr>
          <t>Pro Forma</t>
        </r>
      </text>
    </comment>
    <comment ref="N40" authorId="0" shapeId="0" xr:uid="{00000000-0006-0000-3300-00000F000000}">
      <text>
        <r>
          <rPr>
            <sz val="8"/>
            <color indexed="81"/>
            <rFont val="Tahoma"/>
            <family val="2"/>
          </rPr>
          <t>Pro Forma</t>
        </r>
      </text>
    </comment>
    <comment ref="L41" authorId="0" shapeId="0" xr:uid="{00000000-0006-0000-3300-000010000000}">
      <text>
        <r>
          <rPr>
            <sz val="8"/>
            <color indexed="81"/>
            <rFont val="Tahoma"/>
            <family val="2"/>
          </rPr>
          <t>Pro Forma</t>
        </r>
      </text>
    </comment>
    <comment ref="M41" authorId="0" shapeId="0" xr:uid="{00000000-0006-0000-3300-000011000000}">
      <text>
        <r>
          <rPr>
            <sz val="8"/>
            <color indexed="81"/>
            <rFont val="Tahoma"/>
            <family val="2"/>
          </rPr>
          <t>Pro Forma</t>
        </r>
      </text>
    </comment>
    <comment ref="N41" authorId="0" shapeId="0" xr:uid="{00000000-0006-0000-3300-000012000000}">
      <text>
        <r>
          <rPr>
            <sz val="8"/>
            <color indexed="81"/>
            <rFont val="Tahoma"/>
            <family val="2"/>
          </rPr>
          <t>Pro Forma</t>
        </r>
      </text>
    </comment>
    <comment ref="M42" authorId="0" shapeId="0" xr:uid="{00000000-0006-0000-3300-000013000000}">
      <text>
        <r>
          <rPr>
            <sz val="8"/>
            <color indexed="81"/>
            <rFont val="Tahoma"/>
            <family val="2"/>
          </rPr>
          <t>Pro Forma</t>
        </r>
      </text>
    </comment>
    <comment ref="N42" authorId="0" shapeId="0" xr:uid="{00000000-0006-0000-3300-000014000000}">
      <text>
        <r>
          <rPr>
            <sz val="8"/>
            <color indexed="81"/>
            <rFont val="Tahoma"/>
            <family val="2"/>
          </rPr>
          <t>Pro Forma</t>
        </r>
      </text>
    </comment>
    <comment ref="L44" authorId="0" shapeId="0" xr:uid="{00000000-0006-0000-3300-000015000000}">
      <text>
        <r>
          <rPr>
            <sz val="8"/>
            <color indexed="81"/>
            <rFont val="Tahoma"/>
            <family val="2"/>
          </rPr>
          <t>Pro Forma</t>
        </r>
      </text>
    </comment>
    <comment ref="M44" authorId="0" shapeId="0" xr:uid="{00000000-0006-0000-3300-000016000000}">
      <text>
        <r>
          <rPr>
            <sz val="8"/>
            <color indexed="81"/>
            <rFont val="Tahoma"/>
            <family val="2"/>
          </rPr>
          <t>Pro Forma</t>
        </r>
      </text>
    </comment>
    <comment ref="N44" authorId="0" shapeId="0" xr:uid="{00000000-0006-0000-3300-000017000000}">
      <text>
        <r>
          <rPr>
            <sz val="8"/>
            <color indexed="81"/>
            <rFont val="Tahoma"/>
            <family val="2"/>
          </rPr>
          <t>Pro Forma</t>
        </r>
      </text>
    </comment>
    <comment ref="L47" authorId="0" shapeId="0" xr:uid="{00000000-0006-0000-3300-000018000000}">
      <text>
        <r>
          <rPr>
            <sz val="8"/>
            <color indexed="81"/>
            <rFont val="Tahoma"/>
            <family val="2"/>
          </rPr>
          <t>Pro Forma</t>
        </r>
      </text>
    </comment>
    <comment ref="N47" authorId="0" shapeId="0" xr:uid="{00000000-0006-0000-3300-000019000000}">
      <text>
        <r>
          <rPr>
            <sz val="8"/>
            <color indexed="81"/>
            <rFont val="Tahoma"/>
            <family val="2"/>
          </rPr>
          <t>Pro Forma</t>
        </r>
      </text>
    </comment>
    <comment ref="H48" authorId="0" shapeId="0" xr:uid="{00000000-0006-0000-3300-00001B000000}">
      <text>
        <r>
          <rPr>
            <sz val="8"/>
            <color indexed="81"/>
            <rFont val="Tahoma"/>
            <family val="2"/>
          </rPr>
          <t>Calculated</t>
        </r>
      </text>
    </comment>
    <comment ref="I48" authorId="0" shapeId="0" xr:uid="{00000000-0006-0000-3300-00001C000000}">
      <text>
        <r>
          <rPr>
            <sz val="8"/>
            <color indexed="81"/>
            <rFont val="Tahoma"/>
            <family val="2"/>
          </rPr>
          <t>Calculated</t>
        </r>
      </text>
    </comment>
    <comment ref="J48" authorId="0" shapeId="0" xr:uid="{00000000-0006-0000-3300-00001D000000}">
      <text>
        <r>
          <rPr>
            <sz val="8"/>
            <color indexed="81"/>
            <rFont val="Tahoma"/>
            <family val="2"/>
          </rPr>
          <t>Calculated</t>
        </r>
      </text>
    </comment>
    <comment ref="K48" authorId="0" shapeId="0" xr:uid="{00000000-0006-0000-3300-00001E000000}">
      <text>
        <r>
          <rPr>
            <sz val="8"/>
            <color indexed="81"/>
            <rFont val="Tahoma"/>
            <family val="2"/>
          </rPr>
          <t>Calculated</t>
        </r>
      </text>
    </comment>
    <comment ref="L48" authorId="0" shapeId="0" xr:uid="{00000000-0006-0000-3300-00001F000000}">
      <text>
        <r>
          <rPr>
            <sz val="8"/>
            <color indexed="81"/>
            <rFont val="Tahoma"/>
            <family val="2"/>
          </rPr>
          <t>Calculated</t>
        </r>
      </text>
    </comment>
    <comment ref="M48" authorId="0" shapeId="0" xr:uid="{00000000-0006-0000-3300-000020000000}">
      <text>
        <r>
          <rPr>
            <sz val="8"/>
            <color indexed="81"/>
            <rFont val="Tahoma"/>
            <family val="2"/>
          </rPr>
          <t>Calculated</t>
        </r>
      </text>
    </comment>
  </commentList>
</comments>
</file>

<file path=xl/comments43.xml><?xml version="1.0" encoding="utf-8"?>
<comments xmlns="http://schemas.openxmlformats.org/spreadsheetml/2006/main" xmlns:mc="http://schemas.openxmlformats.org/markup-compatibility/2006" xmlns:xr="http://schemas.microsoft.com/office/spreadsheetml/2014/revision" mc:Ignorable="xr">
  <authors>
    <author>Deepak Rawat</author>
    <author>Parikshit Marathe</author>
  </authors>
  <commentList>
    <comment ref="B39" authorId="0" shapeId="0" xr:uid="{00000000-0006-0000-3400-000001000000}">
      <text>
        <r>
          <rPr>
            <sz val="8"/>
            <color indexed="81"/>
            <rFont val="Tahoma"/>
            <family val="2"/>
          </rPr>
          <t>Source: Q3 Earnings Slide</t>
        </r>
      </text>
    </comment>
    <comment ref="C39" authorId="0" shapeId="0" xr:uid="{00000000-0006-0000-3400-000002000000}">
      <text>
        <r>
          <rPr>
            <sz val="8"/>
            <color indexed="81"/>
            <rFont val="Tahoma"/>
            <family val="2"/>
          </rPr>
          <t>Source: Q2 Earnings Slide</t>
        </r>
      </text>
    </comment>
    <comment ref="B40" authorId="0" shapeId="0" xr:uid="{00000000-0006-0000-3400-000003000000}">
      <text>
        <r>
          <rPr>
            <sz val="8"/>
            <color indexed="81"/>
            <rFont val="Tahoma"/>
            <family val="2"/>
          </rPr>
          <t>Source: Q3 Earnings Slide</t>
        </r>
      </text>
    </comment>
    <comment ref="C40" authorId="0" shapeId="0" xr:uid="{00000000-0006-0000-3400-000004000000}">
      <text>
        <r>
          <rPr>
            <sz val="8"/>
            <color indexed="81"/>
            <rFont val="Tahoma"/>
            <family val="2"/>
          </rPr>
          <t>Source: Q2 Earnings Slide</t>
        </r>
      </text>
    </comment>
    <comment ref="B41" authorId="0" shapeId="0" xr:uid="{00000000-0006-0000-3400-000005000000}">
      <text>
        <r>
          <rPr>
            <sz val="8"/>
            <color indexed="81"/>
            <rFont val="Tahoma"/>
            <family val="2"/>
          </rPr>
          <t>Source: Q3 Earnings Slide</t>
        </r>
      </text>
    </comment>
    <comment ref="C41" authorId="0" shapeId="0" xr:uid="{00000000-0006-0000-3400-000006000000}">
      <text>
        <r>
          <rPr>
            <sz val="8"/>
            <color indexed="81"/>
            <rFont val="Tahoma"/>
            <family val="2"/>
          </rPr>
          <t>Source: Q2 Earnings Slide</t>
        </r>
      </text>
    </comment>
    <comment ref="A54" authorId="1" shapeId="0" xr:uid="{00000000-0006-0000-3400-000007000000}">
      <text>
        <r>
          <rPr>
            <sz val="8"/>
            <color indexed="81"/>
            <rFont val="Tahoma"/>
            <family val="2"/>
          </rPr>
          <t>Source: York Model</t>
        </r>
      </text>
    </comment>
  </commentList>
</comments>
</file>

<file path=xl/comments44.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B12" authorId="0" shapeId="0" xr:uid="{A5F465ED-63AD-4E7E-BE05-BFA8731C9067}">
      <text>
        <r>
          <rPr>
            <sz val="9"/>
            <color indexed="81"/>
            <rFont val="Tahoma"/>
            <family val="2"/>
          </rPr>
          <t>Includes Boyd + Lyron (PF) + GMN</t>
        </r>
      </text>
    </comment>
    <comment ref="C12" authorId="0" shapeId="0" xr:uid="{78F3B6F4-A3B0-4B44-A48B-2B518CD13119}">
      <text>
        <r>
          <rPr>
            <sz val="9"/>
            <color indexed="81"/>
            <rFont val="Tahoma"/>
            <family val="2"/>
          </rPr>
          <t>Includes Boyd + Lyron (PF) + Therma Masters</t>
        </r>
      </text>
    </comment>
    <comment ref="D12" authorId="0" shapeId="0" xr:uid="{ABD292D9-2332-44BE-9517-86EB3130CC11}">
      <text>
        <r>
          <rPr>
            <sz val="9"/>
            <color indexed="81"/>
            <rFont val="Tahoma"/>
            <family val="2"/>
          </rPr>
          <t>Includes Boyd + Lyron (PF) + Therma Masters</t>
        </r>
      </text>
    </comment>
    <comment ref="E12" authorId="0" shapeId="0" xr:uid="{3D85B55C-F19E-4ADC-B3A5-F706A8A3D076}">
      <text>
        <r>
          <rPr>
            <sz val="9"/>
            <color indexed="81"/>
            <rFont val="Tahoma"/>
            <family val="2"/>
          </rPr>
          <t>Includes Boyd + Lyron (PF)</t>
        </r>
      </text>
    </comment>
    <comment ref="F12" authorId="0" shapeId="0" xr:uid="{CD87F4C0-87C2-403B-93A6-EF8391EBAFAF}">
      <text>
        <r>
          <rPr>
            <sz val="9"/>
            <color indexed="81"/>
            <rFont val="Tahoma"/>
            <family val="2"/>
          </rPr>
          <t>Includes Boyd + Lyron (PF) + GMN</t>
        </r>
      </text>
    </comment>
    <comment ref="G12" authorId="0" shapeId="0" xr:uid="{DB420636-232E-48EF-B3D5-FE428AC14BCD}">
      <text>
        <r>
          <rPr>
            <sz val="9"/>
            <color indexed="81"/>
            <rFont val="Tahoma"/>
            <family val="2"/>
          </rPr>
          <t>Includes Boyd + Lyron (PF)</t>
        </r>
      </text>
    </comment>
    <comment ref="H12" authorId="0" shapeId="0" xr:uid="{51D87D49-8E6B-4B16-B02B-28A0DD99BAD8}">
      <text>
        <r>
          <rPr>
            <sz val="9"/>
            <color indexed="81"/>
            <rFont val="Tahoma"/>
            <family val="2"/>
          </rPr>
          <t>Includes Boyd + Lyron (PF) + Therma Masters</t>
        </r>
      </text>
    </comment>
    <comment ref="I12" authorId="0" shapeId="0" xr:uid="{53923DF6-D9E3-4890-8604-7D5AC57FA9A5}">
      <text>
        <r>
          <rPr>
            <sz val="9"/>
            <color indexed="81"/>
            <rFont val="Tahoma"/>
            <family val="2"/>
          </rPr>
          <t>Includes Boyd + Lyron (PF)</t>
        </r>
      </text>
    </comment>
    <comment ref="J12" authorId="0" shapeId="0" xr:uid="{2216D617-BF64-4785-9C3C-C2767E86568A}">
      <text>
        <r>
          <rPr>
            <sz val="9"/>
            <color indexed="81"/>
            <rFont val="Tahoma"/>
            <family val="2"/>
          </rPr>
          <t>Includes Boyd + Lyron (PF)</t>
        </r>
      </text>
    </comment>
    <comment ref="K12" authorId="0" shapeId="0" xr:uid="{77EE0295-F4A1-4EDE-ACCD-5574466D0FB5}">
      <text>
        <r>
          <rPr>
            <sz val="9"/>
            <color indexed="81"/>
            <rFont val="Tahoma"/>
            <family val="2"/>
          </rPr>
          <t>Includes Boyd + Lyron</t>
        </r>
      </text>
    </comment>
    <comment ref="L12" authorId="0" shapeId="0" xr:uid="{00000000-0006-0000-3700-000001000000}">
      <text>
        <r>
          <rPr>
            <sz val="9"/>
            <color indexed="81"/>
            <rFont val="Tahoma"/>
            <family val="2"/>
          </rPr>
          <t>Reverse calculated based on 4Q19 Presentation</t>
        </r>
      </text>
    </comment>
    <comment ref="B16" authorId="0" shapeId="0" xr:uid="{71B10876-FBD0-4AEB-9B1B-1BDDEEB0CC80}">
      <text>
        <r>
          <rPr>
            <sz val="9"/>
            <color indexed="81"/>
            <rFont val="Tahoma"/>
            <family val="2"/>
          </rPr>
          <t>Includes Boyd + Lyron (PF) + GMN</t>
        </r>
      </text>
    </comment>
    <comment ref="C16" authorId="0" shapeId="0" xr:uid="{A65B718A-8147-4EA5-9383-A98F5F94ECA8}">
      <text>
        <r>
          <rPr>
            <sz val="9"/>
            <color indexed="81"/>
            <rFont val="Tahoma"/>
            <family val="2"/>
          </rPr>
          <t>Includes Boyd + Lyron (PF) + Therma Masters</t>
        </r>
      </text>
    </comment>
    <comment ref="D16" authorId="0" shapeId="0" xr:uid="{BD644CC9-D902-476E-9ECF-DDD132D59F7A}">
      <text>
        <r>
          <rPr>
            <sz val="9"/>
            <color indexed="81"/>
            <rFont val="Tahoma"/>
            <family val="2"/>
          </rPr>
          <t>Includes Boyd + Lyron (PF) + Therma Masters</t>
        </r>
      </text>
    </comment>
    <comment ref="E16" authorId="0" shapeId="0" xr:uid="{93580B39-5F43-498B-BED8-2B4DB55AC1D0}">
      <text>
        <r>
          <rPr>
            <sz val="9"/>
            <color indexed="81"/>
            <rFont val="Tahoma"/>
            <family val="2"/>
          </rPr>
          <t>Includes Boyd + Lyron (PF)</t>
        </r>
      </text>
    </comment>
    <comment ref="F16" authorId="0" shapeId="0" xr:uid="{1D6DA6D3-782C-406E-A5B2-F1EA3AC4CA3C}">
      <text>
        <r>
          <rPr>
            <sz val="9"/>
            <color indexed="81"/>
            <rFont val="Tahoma"/>
            <family val="2"/>
          </rPr>
          <t>Includes Boyd + Lyron (PF) + GMN</t>
        </r>
      </text>
    </comment>
    <comment ref="G16" authorId="0" shapeId="0" xr:uid="{9D238AD4-B088-496E-BFEA-227427ABA45E}">
      <text>
        <r>
          <rPr>
            <sz val="9"/>
            <color indexed="81"/>
            <rFont val="Tahoma"/>
            <family val="2"/>
          </rPr>
          <t>Includes Boyd + Lyron (PF)</t>
        </r>
      </text>
    </comment>
    <comment ref="H16" authorId="0" shapeId="0" xr:uid="{DD3F83DE-EDBA-4C3D-A77F-7513B50CBB3E}">
      <text>
        <r>
          <rPr>
            <sz val="9"/>
            <color indexed="81"/>
            <rFont val="Tahoma"/>
            <family val="2"/>
          </rPr>
          <t>Includes Boyd + Lyron (PF) + Therma Masters</t>
        </r>
      </text>
    </comment>
    <comment ref="I16" authorId="0" shapeId="0" xr:uid="{FEC7A519-1A34-43F6-B1AC-5DB5518EDECC}">
      <text>
        <r>
          <rPr>
            <sz val="9"/>
            <color indexed="81"/>
            <rFont val="Tahoma"/>
            <family val="2"/>
          </rPr>
          <t>Includes Boyd + Lyron (PF)</t>
        </r>
      </text>
    </comment>
    <comment ref="J16" authorId="0" shapeId="0" xr:uid="{C06F0DC2-41B8-4F44-BE3F-AD587D16DBB8}">
      <text>
        <r>
          <rPr>
            <sz val="9"/>
            <color indexed="81"/>
            <rFont val="Tahoma"/>
            <family val="2"/>
          </rPr>
          <t>Includes Boyd + Lyron (PF)</t>
        </r>
      </text>
    </comment>
    <comment ref="K16" authorId="0" shapeId="0" xr:uid="{D57D8097-35D1-420B-AC0A-B92B6D91BF6F}">
      <text>
        <r>
          <rPr>
            <sz val="9"/>
            <color indexed="81"/>
            <rFont val="Tahoma"/>
            <family val="2"/>
          </rPr>
          <t>Includes Boyd + Lyron</t>
        </r>
      </text>
    </comment>
    <comment ref="L16" authorId="0" shapeId="0" xr:uid="{00000000-0006-0000-3700-000002000000}">
      <text>
        <r>
          <rPr>
            <sz val="9"/>
            <color indexed="81"/>
            <rFont val="Tahoma"/>
            <family val="2"/>
          </rPr>
          <t>Reverse calculated based on 4Q19 Presentation</t>
        </r>
      </text>
    </comment>
    <comment ref="N39" authorId="0" shapeId="0" xr:uid="{00000000-0006-0000-3700-000003000000}">
      <text>
        <r>
          <rPr>
            <sz val="8"/>
            <color indexed="81"/>
            <rFont val="Tahoma"/>
            <family val="2"/>
          </rPr>
          <t>Pro Forma</t>
        </r>
      </text>
    </comment>
    <comment ref="J40" authorId="0" shapeId="0" xr:uid="{00000000-0006-0000-3700-000004000000}">
      <text>
        <r>
          <rPr>
            <sz val="8"/>
            <color indexed="81"/>
            <rFont val="Tahoma"/>
            <family val="2"/>
          </rPr>
          <t>PF for Lytron Acquisition</t>
        </r>
      </text>
    </comment>
    <comment ref="N40" authorId="0" shapeId="0" xr:uid="{00000000-0006-0000-3700-000005000000}">
      <text>
        <r>
          <rPr>
            <sz val="8"/>
            <color indexed="81"/>
            <rFont val="Tahoma"/>
            <family val="2"/>
          </rPr>
          <t>Pro Forma</t>
        </r>
      </text>
    </comment>
    <comment ref="N41" authorId="0" shapeId="0" xr:uid="{00000000-0006-0000-3700-000006000000}">
      <text>
        <r>
          <rPr>
            <sz val="8"/>
            <color indexed="81"/>
            <rFont val="Tahoma"/>
            <family val="2"/>
          </rPr>
          <t>Pro Forma</t>
        </r>
      </text>
    </comment>
    <comment ref="N42" authorId="0" shapeId="0" xr:uid="{00000000-0006-0000-3700-000007000000}">
      <text>
        <r>
          <rPr>
            <sz val="8"/>
            <color indexed="81"/>
            <rFont val="Tahoma"/>
            <family val="2"/>
          </rPr>
          <t>Pro Forma</t>
        </r>
      </text>
    </comment>
    <comment ref="N44" authorId="0" shapeId="0" xr:uid="{00000000-0006-0000-3700-000008000000}">
      <text>
        <r>
          <rPr>
            <sz val="8"/>
            <color indexed="81"/>
            <rFont val="Tahoma"/>
            <family val="2"/>
          </rPr>
          <t>Pro Forma</t>
        </r>
      </text>
    </comment>
    <comment ref="B46" authorId="0" shapeId="0" xr:uid="{9C80D87E-ECAC-49DB-BA94-8434552E889C}">
      <text>
        <r>
          <rPr>
            <sz val="9"/>
            <color indexed="81"/>
            <rFont val="Tahoma"/>
            <family val="2"/>
          </rPr>
          <t>Includes Boyd + Lyron (PF)</t>
        </r>
      </text>
    </comment>
    <comment ref="C46" authorId="0" shapeId="0" xr:uid="{98C6A044-FB80-4762-B3F0-57F26AAB6D6E}">
      <text>
        <r>
          <rPr>
            <sz val="9"/>
            <color indexed="81"/>
            <rFont val="Tahoma"/>
            <family val="2"/>
          </rPr>
          <t>Includes Boyd + Lyron (PF)</t>
        </r>
      </text>
    </comment>
    <comment ref="D46" authorId="0" shapeId="0" xr:uid="{44415BDA-82E3-4FD1-9F14-037FC9E51055}">
      <text>
        <r>
          <rPr>
            <sz val="9"/>
            <color indexed="81"/>
            <rFont val="Tahoma"/>
            <family val="2"/>
          </rPr>
          <t>Includes Boyd + Lyron (PF)</t>
        </r>
      </text>
    </comment>
    <comment ref="E46" authorId="0" shapeId="0" xr:uid="{85B23A95-9154-471E-9831-25569E06613B}">
      <text>
        <r>
          <rPr>
            <sz val="9"/>
            <color indexed="81"/>
            <rFont val="Tahoma"/>
            <family val="2"/>
          </rPr>
          <t>Includes Boyd + Lyron (PF)</t>
        </r>
      </text>
    </comment>
    <comment ref="F46" authorId="0" shapeId="0" xr:uid="{8900A129-45B3-4DB2-9BDC-2D324CA93FDB}">
      <text>
        <r>
          <rPr>
            <sz val="9"/>
            <color indexed="81"/>
            <rFont val="Tahoma"/>
            <family val="2"/>
          </rPr>
          <t>Includes Boyd + Lyron (PF)</t>
        </r>
      </text>
    </comment>
    <comment ref="G46" authorId="0" shapeId="0" xr:uid="{C122E07B-6BC5-455F-BF63-501817CA939D}">
      <text>
        <r>
          <rPr>
            <sz val="9"/>
            <color indexed="81"/>
            <rFont val="Tahoma"/>
            <family val="2"/>
          </rPr>
          <t>Includes Boyd + Lyron (PF)</t>
        </r>
      </text>
    </comment>
    <comment ref="H46" authorId="0" shapeId="0" xr:uid="{17C4E64E-6F21-4CAD-B7CF-1888527A2AA5}">
      <text>
        <r>
          <rPr>
            <sz val="9"/>
            <color indexed="81"/>
            <rFont val="Tahoma"/>
            <family val="2"/>
          </rPr>
          <t>Includes Boyd + Lyron (PF)</t>
        </r>
      </text>
    </comment>
    <comment ref="I46" authorId="0" shapeId="0" xr:uid="{CE2E3F59-3185-45C6-8F0D-B1166B7C2D8B}">
      <text>
        <r>
          <rPr>
            <sz val="9"/>
            <color indexed="81"/>
            <rFont val="Tahoma"/>
            <family val="2"/>
          </rPr>
          <t>Includes Boyd + Lyron (PF)</t>
        </r>
      </text>
    </comment>
    <comment ref="J46" authorId="0" shapeId="0" xr:uid="{00000000-0006-0000-3700-00000A000000}">
      <text>
        <r>
          <rPr>
            <sz val="8"/>
            <color indexed="81"/>
            <rFont val="Tahoma"/>
            <family val="2"/>
          </rPr>
          <t>PF for Lytron Acquisition</t>
        </r>
      </text>
    </comment>
    <comment ref="B47" authorId="0" shapeId="0" xr:uid="{BE3F58B3-EAA0-4C8C-B44F-8EAD48A27B72}">
      <text>
        <r>
          <rPr>
            <sz val="8"/>
            <color indexed="81"/>
            <rFont val="Tahoma"/>
            <family val="2"/>
          </rPr>
          <t>PF for Lyron Acquisition</t>
        </r>
      </text>
    </comment>
    <comment ref="C47" authorId="0" shapeId="0" xr:uid="{64A602CD-0E3F-4BA0-9317-F1D012406029}">
      <text>
        <r>
          <rPr>
            <sz val="8"/>
            <color indexed="81"/>
            <rFont val="Tahoma"/>
            <family val="2"/>
          </rPr>
          <t>PF for Lyron Acquisition</t>
        </r>
      </text>
    </comment>
    <comment ref="D47" authorId="0" shapeId="0" xr:uid="{ED6A40CA-B225-4E28-BD3B-123976FF8860}">
      <text>
        <r>
          <rPr>
            <sz val="8"/>
            <color indexed="81"/>
            <rFont val="Tahoma"/>
            <family val="2"/>
          </rPr>
          <t>PF for Lyron Acquisition</t>
        </r>
      </text>
    </comment>
    <comment ref="E47" authorId="0" shapeId="0" xr:uid="{9BE90216-09C8-478C-9257-7950D6E7E2B9}">
      <text>
        <r>
          <rPr>
            <sz val="8"/>
            <color indexed="81"/>
            <rFont val="Tahoma"/>
            <family val="2"/>
          </rPr>
          <t>PF for Lyron Acquisition</t>
        </r>
      </text>
    </comment>
    <comment ref="F47" authorId="0" shapeId="0" xr:uid="{C8EA7041-E5F2-4568-A214-690C5406A4B9}">
      <text>
        <r>
          <rPr>
            <sz val="8"/>
            <color indexed="81"/>
            <rFont val="Tahoma"/>
            <family val="2"/>
          </rPr>
          <t>PF for Lyron Acquisition</t>
        </r>
      </text>
    </comment>
    <comment ref="G47" authorId="0" shapeId="0" xr:uid="{D84196A2-75EC-4DA9-8F08-3AEFED5EB663}">
      <text>
        <r>
          <rPr>
            <sz val="8"/>
            <color indexed="81"/>
            <rFont val="Tahoma"/>
            <family val="2"/>
          </rPr>
          <t>PF for Lyron Acquisition</t>
        </r>
      </text>
    </comment>
    <comment ref="H47" authorId="0" shapeId="0" xr:uid="{4EFD4906-AFFF-4514-A2F0-59133E8FA40C}">
      <text>
        <r>
          <rPr>
            <sz val="8"/>
            <color indexed="81"/>
            <rFont val="Tahoma"/>
            <family val="2"/>
          </rPr>
          <t>PF for Lyron Acquisition</t>
        </r>
      </text>
    </comment>
    <comment ref="I47" authorId="0" shapeId="0" xr:uid="{12F1ABBB-535E-4E39-B716-3E2F018D6C99}">
      <text>
        <r>
          <rPr>
            <sz val="8"/>
            <color indexed="81"/>
            <rFont val="Tahoma"/>
            <family val="2"/>
          </rPr>
          <t>PF for Lyron Acquisition</t>
        </r>
      </text>
    </comment>
    <comment ref="J47" authorId="0" shapeId="0" xr:uid="{C3D3D3CF-E07C-4672-A2CB-2C87402B0BE4}">
      <text>
        <r>
          <rPr>
            <sz val="8"/>
            <color indexed="81"/>
            <rFont val="Tahoma"/>
            <family val="2"/>
          </rPr>
          <t>PF for Lyron Acquisition</t>
        </r>
      </text>
    </comment>
    <comment ref="N47" authorId="0" shapeId="0" xr:uid="{00000000-0006-0000-3700-00000E000000}">
      <text>
        <r>
          <rPr>
            <sz val="8"/>
            <color indexed="81"/>
            <rFont val="Tahoma"/>
            <family val="2"/>
          </rPr>
          <t>Pro Forma</t>
        </r>
      </text>
    </comment>
    <comment ref="L48" authorId="0" shapeId="0" xr:uid="{00000000-0006-0000-3700-00000F000000}">
      <text>
        <r>
          <rPr>
            <sz val="8"/>
            <color indexed="81"/>
            <rFont val="Tahoma"/>
            <family val="2"/>
          </rPr>
          <t>Calculated</t>
        </r>
      </text>
    </comment>
    <comment ref="N48" authorId="0" shapeId="0" xr:uid="{00000000-0006-0000-3700-000010000000}">
      <text>
        <r>
          <rPr>
            <sz val="8"/>
            <color indexed="81"/>
            <rFont val="Tahoma"/>
            <family val="2"/>
          </rPr>
          <t>Pro Forma</t>
        </r>
      </text>
    </comment>
  </commentList>
</comments>
</file>

<file path=xl/comments45.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N39" authorId="0" shapeId="0" xr:uid="{00000000-0006-0000-3800-000001000000}">
      <text>
        <r>
          <rPr>
            <sz val="8"/>
            <color indexed="81"/>
            <rFont val="Tahoma"/>
            <family val="2"/>
          </rPr>
          <t>PF</t>
        </r>
      </text>
    </comment>
    <comment ref="I40" authorId="0" shapeId="0" xr:uid="{00000000-0006-0000-3800-000002000000}">
      <text>
        <r>
          <rPr>
            <sz val="8"/>
            <color indexed="81"/>
            <rFont val="Tahoma"/>
            <family val="2"/>
          </rPr>
          <t>PF</t>
        </r>
      </text>
    </comment>
    <comment ref="J40" authorId="0" shapeId="0" xr:uid="{00000000-0006-0000-3800-000003000000}">
      <text>
        <r>
          <rPr>
            <sz val="8"/>
            <color indexed="81"/>
            <rFont val="Tahoma"/>
            <family val="2"/>
          </rPr>
          <t>PF</t>
        </r>
      </text>
    </comment>
    <comment ref="N40" authorId="0" shapeId="0" xr:uid="{00000000-0006-0000-3800-000004000000}">
      <text>
        <r>
          <rPr>
            <sz val="8"/>
            <color indexed="81"/>
            <rFont val="Tahoma"/>
            <family val="2"/>
          </rPr>
          <t>PF</t>
        </r>
      </text>
    </comment>
    <comment ref="I41" authorId="0" shapeId="0" xr:uid="{00000000-0006-0000-3800-000005000000}">
      <text>
        <r>
          <rPr>
            <sz val="8"/>
            <color indexed="81"/>
            <rFont val="Tahoma"/>
            <family val="2"/>
          </rPr>
          <t>PF</t>
        </r>
      </text>
    </comment>
    <comment ref="J41" authorId="0" shapeId="0" xr:uid="{00000000-0006-0000-3800-000006000000}">
      <text>
        <r>
          <rPr>
            <sz val="8"/>
            <color indexed="81"/>
            <rFont val="Tahoma"/>
            <family val="2"/>
          </rPr>
          <t>PF</t>
        </r>
      </text>
    </comment>
    <comment ref="N41" authorId="0" shapeId="0" xr:uid="{00000000-0006-0000-3800-000007000000}">
      <text>
        <r>
          <rPr>
            <sz val="8"/>
            <color indexed="81"/>
            <rFont val="Tahoma"/>
            <family val="2"/>
          </rPr>
          <t>PF</t>
        </r>
      </text>
    </comment>
    <comment ref="N42" authorId="0" shapeId="0" xr:uid="{00000000-0006-0000-3800-000008000000}">
      <text>
        <r>
          <rPr>
            <sz val="8"/>
            <color indexed="81"/>
            <rFont val="Tahoma"/>
            <family val="2"/>
          </rPr>
          <t>PF</t>
        </r>
      </text>
    </comment>
    <comment ref="I44" authorId="0" shapeId="0" xr:uid="{00000000-0006-0000-3800-000009000000}">
      <text>
        <r>
          <rPr>
            <sz val="8"/>
            <color indexed="81"/>
            <rFont val="Tahoma"/>
            <family val="2"/>
          </rPr>
          <t>PF</t>
        </r>
      </text>
    </comment>
    <comment ref="J44" authorId="0" shapeId="0" xr:uid="{00000000-0006-0000-3800-00000A000000}">
      <text>
        <r>
          <rPr>
            <sz val="8"/>
            <color indexed="81"/>
            <rFont val="Tahoma"/>
            <family val="2"/>
          </rPr>
          <t>PF</t>
        </r>
      </text>
    </comment>
    <comment ref="N44" authorId="0" shapeId="0" xr:uid="{00000000-0006-0000-3800-00000B000000}">
      <text>
        <r>
          <rPr>
            <sz val="8"/>
            <color indexed="81"/>
            <rFont val="Tahoma"/>
            <family val="2"/>
          </rPr>
          <t>PF</t>
        </r>
      </text>
    </comment>
    <comment ref="N46" authorId="0" shapeId="0" xr:uid="{00000000-0006-0000-3800-00000C000000}">
      <text>
        <r>
          <rPr>
            <sz val="8"/>
            <color indexed="81"/>
            <rFont val="Tahoma"/>
            <family val="2"/>
          </rPr>
          <t>PF</t>
        </r>
      </text>
    </comment>
    <comment ref="N47" authorId="0" shapeId="0" xr:uid="{00000000-0006-0000-3800-00000D000000}">
      <text>
        <r>
          <rPr>
            <sz val="8"/>
            <color indexed="81"/>
            <rFont val="Tahoma"/>
            <family val="2"/>
          </rPr>
          <t>PF</t>
        </r>
      </text>
    </comment>
    <comment ref="N48" authorId="0" shapeId="0" xr:uid="{00000000-0006-0000-3800-000015000000}">
      <text>
        <r>
          <rPr>
            <sz val="8"/>
            <color indexed="81"/>
            <rFont val="Tahoma"/>
            <family val="2"/>
          </rPr>
          <t>PF</t>
        </r>
      </text>
    </comment>
  </commentList>
</comments>
</file>

<file path=xl/comments46.xml><?xml version="1.0" encoding="utf-8"?>
<comments xmlns="http://schemas.openxmlformats.org/spreadsheetml/2006/main" xmlns:mc="http://schemas.openxmlformats.org/markup-compatibility/2006" xmlns:xr="http://schemas.microsoft.com/office/spreadsheetml/2014/revision" mc:Ignorable="xr">
  <authors>
    <author>Deepak Rawat</author>
    <author>Parikshit Marathe</author>
  </authors>
  <commentList>
    <comment ref="A22" authorId="0" shapeId="0" xr:uid="{00000000-0006-0000-3900-000001000000}">
      <text>
        <r>
          <rPr>
            <sz val="8"/>
            <color indexed="81"/>
            <rFont val="Tahoma"/>
            <family val="2"/>
          </rPr>
          <t>York Model</t>
        </r>
      </text>
    </comment>
    <comment ref="B42" authorId="0" shapeId="0" xr:uid="{00000000-0006-0000-3900-000002000000}">
      <text>
        <r>
          <rPr>
            <sz val="8"/>
            <color indexed="81"/>
            <rFont val="Tahoma"/>
            <family val="2"/>
          </rPr>
          <t>Source: York Model Sheel 1</t>
        </r>
      </text>
    </comment>
    <comment ref="C42" authorId="0" shapeId="0" xr:uid="{00000000-0006-0000-3900-000003000000}">
      <text>
        <r>
          <rPr>
            <sz val="8"/>
            <color indexed="81"/>
            <rFont val="Tahoma"/>
            <family val="2"/>
          </rPr>
          <t>Source: York Model Sheel 1</t>
        </r>
      </text>
    </comment>
    <comment ref="H42" authorId="1" shapeId="0" xr:uid="{00000000-0006-0000-3900-000004000000}">
      <text>
        <r>
          <rPr>
            <sz val="8"/>
            <color indexed="81"/>
            <rFont val="Tahoma"/>
            <family val="2"/>
          </rPr>
          <t>TEN shares outstanding 51.424625mm
Additional Class A shares issued 5.65mm
Additional Class B shares issued 45.71mm</t>
        </r>
      </text>
    </comment>
    <comment ref="I42" authorId="1" shapeId="0" xr:uid="{00000000-0006-0000-3900-000005000000}">
      <text>
        <r>
          <rPr>
            <sz val="8"/>
            <color indexed="81"/>
            <rFont val="Tahoma"/>
            <family val="2"/>
          </rPr>
          <t>TEN shares outstanding 51.424625mm
Additional Class A shares issued 5.65mm
Additional Class B shares issued 45.71mm</t>
        </r>
      </text>
    </comment>
    <comment ref="J42" authorId="1" shapeId="0" xr:uid="{00000000-0006-0000-3900-000006000000}">
      <text>
        <r>
          <rPr>
            <sz val="8"/>
            <color indexed="81"/>
            <rFont val="Tahoma"/>
            <family val="2"/>
          </rPr>
          <t>TEN shares outstanding 51.424625mm
Additional Class A shares issued 5.65mm
Additional Class B shares issued 45.71mm</t>
        </r>
      </text>
    </comment>
    <comment ref="C46" authorId="0" shapeId="0" xr:uid="{00000000-0006-0000-3900-000007000000}">
      <text>
        <r>
          <rPr>
            <sz val="8"/>
            <color indexed="81"/>
            <rFont val="Tahoma"/>
            <family val="2"/>
          </rPr>
          <t>Source: York Model Sheel 1</t>
        </r>
      </text>
    </comment>
    <comment ref="F46" authorId="0" shapeId="0" xr:uid="{00000000-0006-0000-3900-000008000000}">
      <text>
        <r>
          <rPr>
            <sz val="8"/>
            <color indexed="81"/>
            <rFont val="Tahoma"/>
            <family val="2"/>
          </rPr>
          <t>4 Quarters Annualized</t>
        </r>
      </text>
    </comment>
    <comment ref="C47" authorId="0" shapeId="0" xr:uid="{00000000-0006-0000-3900-000009000000}">
      <text>
        <r>
          <rPr>
            <sz val="8"/>
            <color indexed="81"/>
            <rFont val="Tahoma"/>
            <family val="2"/>
          </rPr>
          <t>Source: York Model Sheel 1</t>
        </r>
      </text>
    </comment>
    <comment ref="D47" authorId="0" shapeId="0" xr:uid="{00000000-0006-0000-3900-00000A000000}">
      <text>
        <r>
          <rPr>
            <sz val="8"/>
            <color indexed="81"/>
            <rFont val="Tahoma"/>
            <family val="2"/>
          </rPr>
          <t>Source: York Model Sheel 1</t>
        </r>
      </text>
    </comment>
    <comment ref="E47" authorId="0" shapeId="0" xr:uid="{00000000-0006-0000-3900-00000B000000}">
      <text>
        <r>
          <rPr>
            <sz val="8"/>
            <color indexed="81"/>
            <rFont val="Tahoma"/>
            <family val="2"/>
          </rPr>
          <t>Source: Presentation</t>
        </r>
      </text>
    </comment>
    <comment ref="F47" authorId="0" shapeId="0" xr:uid="{00000000-0006-0000-3900-00000C000000}">
      <text>
        <r>
          <rPr>
            <sz val="8"/>
            <color indexed="81"/>
            <rFont val="Tahoma"/>
            <family val="2"/>
          </rPr>
          <t>4 Quarters Annualized</t>
        </r>
      </text>
    </comment>
    <comment ref="C48" authorId="0" shapeId="0" xr:uid="{00000000-0006-0000-3900-00000D000000}">
      <text>
        <r>
          <rPr>
            <sz val="8"/>
            <color indexed="81"/>
            <rFont val="Tahoma"/>
            <family val="2"/>
          </rPr>
          <t>Source: York Model Sheel 1</t>
        </r>
      </text>
    </comment>
    <comment ref="E48" authorId="0" shapeId="0" xr:uid="{00000000-0006-0000-3900-00000E000000}">
      <text>
        <r>
          <rPr>
            <sz val="8"/>
            <color indexed="81"/>
            <rFont val="Tahoma"/>
            <family val="2"/>
          </rPr>
          <t>Calculated</t>
        </r>
      </text>
    </comment>
    <comment ref="F48" authorId="0" shapeId="0" xr:uid="{00000000-0006-0000-3900-00000F000000}">
      <text>
        <r>
          <rPr>
            <sz val="8"/>
            <color indexed="81"/>
            <rFont val="Tahoma"/>
            <family val="2"/>
          </rPr>
          <t>4 Quarters Annualized</t>
        </r>
      </text>
    </comment>
  </commentList>
</comments>
</file>

<file path=xl/comments47.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C12" authorId="0" shapeId="0" xr:uid="{5CBA72A4-5872-4E6B-9C62-86D382F8B7D5}">
      <text>
        <r>
          <rPr>
            <sz val="9"/>
            <color indexed="81"/>
            <rFont val="Tahoma"/>
            <family val="2"/>
          </rPr>
          <t>Restated from Financials</t>
        </r>
      </text>
    </comment>
    <comment ref="C16" authorId="0" shapeId="0" xr:uid="{5B5363E4-E0FE-4151-A35E-A52AC83EBA73}">
      <text>
        <r>
          <rPr>
            <sz val="9"/>
            <color indexed="81"/>
            <rFont val="Tahoma"/>
            <family val="2"/>
          </rPr>
          <t>Restated from Financials</t>
        </r>
      </text>
    </comment>
    <comment ref="C24" authorId="0" shapeId="0" xr:uid="{0C9771FB-AEF4-4DE2-A710-10315B60B921}">
      <text>
        <r>
          <rPr>
            <sz val="9"/>
            <color indexed="81"/>
            <rFont val="Tahoma"/>
            <family val="2"/>
          </rPr>
          <t>Restated from Financials</t>
        </r>
      </text>
    </comment>
    <comment ref="C39" authorId="0" shapeId="0" xr:uid="{B29D7521-EF9D-46FB-8C01-64E79B180AF4}">
      <text>
        <r>
          <rPr>
            <sz val="9"/>
            <color indexed="81"/>
            <rFont val="Tahoma"/>
            <family val="2"/>
          </rPr>
          <t>Restated from Financials</t>
        </r>
      </text>
    </comment>
    <comment ref="C40" authorId="0" shapeId="0" xr:uid="{DAF2F3BC-197C-478E-9A40-05E84C58643D}">
      <text>
        <r>
          <rPr>
            <sz val="9"/>
            <color indexed="81"/>
            <rFont val="Tahoma"/>
            <family val="2"/>
          </rPr>
          <t>Restated from Financials</t>
        </r>
      </text>
    </comment>
    <comment ref="C41" authorId="0" shapeId="0" xr:uid="{34BE9891-3731-46E2-AD39-927400B1EBEF}">
      <text>
        <r>
          <rPr>
            <sz val="9"/>
            <color indexed="81"/>
            <rFont val="Tahoma"/>
            <family val="2"/>
          </rPr>
          <t>Restated from Financials</t>
        </r>
      </text>
    </comment>
    <comment ref="C42" authorId="0" shapeId="0" xr:uid="{DDC814F7-6FEA-4FD8-997E-E3254FAEB8CE}">
      <text>
        <r>
          <rPr>
            <sz val="9"/>
            <color indexed="81"/>
            <rFont val="Tahoma"/>
            <family val="2"/>
          </rPr>
          <t>Restated from Financials</t>
        </r>
      </text>
    </comment>
    <comment ref="C44" authorId="0" shapeId="0" xr:uid="{24991807-AAC0-4B46-A891-FC065531D8AB}">
      <text>
        <r>
          <rPr>
            <sz val="9"/>
            <color indexed="81"/>
            <rFont val="Tahoma"/>
            <family val="2"/>
          </rPr>
          <t>Restated from Financials</t>
        </r>
      </text>
    </comment>
    <comment ref="C46" authorId="0" shapeId="0" xr:uid="{47A22222-58BB-484F-9D97-D88A1D0A6CC9}">
      <text>
        <r>
          <rPr>
            <sz val="9"/>
            <color indexed="81"/>
            <rFont val="Tahoma"/>
            <family val="2"/>
          </rPr>
          <t>Restated from Financials</t>
        </r>
      </text>
    </comment>
    <comment ref="B47" authorId="0" shapeId="0" xr:uid="{BDE7FCCA-B003-462F-B911-EFA9178EBFBC}">
      <text>
        <r>
          <rPr>
            <sz val="9"/>
            <color indexed="81"/>
            <rFont val="Tahoma"/>
            <family val="2"/>
          </rPr>
          <t>Restated from Financials</t>
        </r>
      </text>
    </comment>
    <comment ref="C47" authorId="0" shapeId="0" xr:uid="{52C01A38-DD8F-4F57-B69C-6B832B9F8213}">
      <text>
        <r>
          <rPr>
            <sz val="9"/>
            <color indexed="81"/>
            <rFont val="Tahoma"/>
            <family val="2"/>
          </rPr>
          <t>Restated from Financials</t>
        </r>
      </text>
    </comment>
    <comment ref="C48" authorId="0" shapeId="0" xr:uid="{7A0A629C-C738-4167-B064-B7D0A4AEBB06}">
      <text>
        <r>
          <rPr>
            <sz val="9"/>
            <color indexed="81"/>
            <rFont val="Tahoma"/>
            <family val="2"/>
          </rPr>
          <t>Restated from Financials</t>
        </r>
      </text>
    </comment>
  </commentList>
</comments>
</file>

<file path=xl/comments48.xml><?xml version="1.0" encoding="utf-8"?>
<comments xmlns="http://schemas.openxmlformats.org/spreadsheetml/2006/main" xmlns:mc="http://schemas.openxmlformats.org/markup-compatibility/2006" xmlns:xr="http://schemas.microsoft.com/office/spreadsheetml/2014/revision" mc:Ignorable="xr">
  <authors>
    <author>Parikshit Marathe</author>
  </authors>
  <commentList>
    <comment ref="B42" authorId="0" shapeId="0" xr:uid="{00000000-0006-0000-3C00-000001000000}">
      <text>
        <r>
          <rPr>
            <sz val="8"/>
            <color indexed="81"/>
            <rFont val="Tahoma"/>
            <family val="2"/>
          </rPr>
          <t>Q1 2018 Earnings call presentation</t>
        </r>
      </text>
    </comment>
    <comment ref="C42" authorId="0" shapeId="0" xr:uid="{00000000-0006-0000-3C00-000002000000}">
      <text>
        <r>
          <rPr>
            <sz val="8"/>
            <color indexed="81"/>
            <rFont val="Tahoma"/>
            <family val="2"/>
          </rPr>
          <t>Source: Lender Presentation, Feb 2018</t>
        </r>
      </text>
    </comment>
  </commentList>
</comments>
</file>

<file path=xl/comments49.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B12" authorId="0" shapeId="0" xr:uid="{1A96CB15-DCDC-44BA-8F1A-DC588A25C4D5}">
      <text>
        <r>
          <rPr>
            <sz val="9"/>
            <color indexed="81"/>
            <rFont val="Tahoma"/>
            <family val="2"/>
          </rPr>
          <t>PF</t>
        </r>
      </text>
    </comment>
    <comment ref="C12" authorId="0" shapeId="0" xr:uid="{6164776D-5474-495D-868A-487153E46C31}">
      <text>
        <r>
          <rPr>
            <sz val="9"/>
            <color indexed="81"/>
            <rFont val="Tahoma"/>
            <family val="2"/>
          </rPr>
          <t>PF</t>
        </r>
      </text>
    </comment>
    <comment ref="D12" authorId="0" shapeId="0" xr:uid="{B52BE004-7B70-4AEB-842A-A8DEB3DB6F9F}">
      <text>
        <r>
          <rPr>
            <sz val="9"/>
            <color indexed="81"/>
            <rFont val="Tahoma"/>
            <family val="2"/>
          </rPr>
          <t>PF</t>
        </r>
      </text>
    </comment>
    <comment ref="E12" authorId="0" shapeId="0" xr:uid="{C7513AC4-A69C-4C66-B157-6C2A7880996C}">
      <text>
        <r>
          <rPr>
            <sz val="9"/>
            <color indexed="81"/>
            <rFont val="Tahoma"/>
            <family val="2"/>
          </rPr>
          <t>PF</t>
        </r>
      </text>
    </comment>
    <comment ref="F12" authorId="0" shapeId="0" xr:uid="{E400CD10-C885-4EB2-8F2F-6C7762FEE376}">
      <text>
        <r>
          <rPr>
            <sz val="9"/>
            <color indexed="81"/>
            <rFont val="Tahoma"/>
            <family val="2"/>
          </rPr>
          <t>PF</t>
        </r>
      </text>
    </comment>
    <comment ref="G12" authorId="0" shapeId="0" xr:uid="{F8295B3B-19CA-4592-9F7B-C41C171CF3F2}">
      <text>
        <r>
          <rPr>
            <sz val="9"/>
            <color indexed="81"/>
            <rFont val="Tahoma"/>
            <family val="2"/>
          </rPr>
          <t>PF</t>
        </r>
      </text>
    </comment>
    <comment ref="H12" authorId="0" shapeId="0" xr:uid="{CC7AB106-DB16-4EED-9F33-F9755BDD38FA}">
      <text>
        <r>
          <rPr>
            <sz val="9"/>
            <color indexed="81"/>
            <rFont val="Tahoma"/>
            <family val="2"/>
          </rPr>
          <t>PF</t>
        </r>
      </text>
    </comment>
    <comment ref="I12" authorId="0" shapeId="0" xr:uid="{F94160B9-4184-4FB4-81B3-2A44D1EA1932}">
      <text>
        <r>
          <rPr>
            <sz val="9"/>
            <color indexed="81"/>
            <rFont val="Tahoma"/>
            <family val="2"/>
          </rPr>
          <t>PF</t>
        </r>
      </text>
    </comment>
    <comment ref="J12" authorId="0" shapeId="0" xr:uid="{84EE34D7-3EB5-4451-9F3E-609E94AF6A0D}">
      <text>
        <r>
          <rPr>
            <sz val="9"/>
            <color indexed="81"/>
            <rFont val="Tahoma"/>
            <family val="2"/>
          </rPr>
          <t>PF</t>
        </r>
      </text>
    </comment>
    <comment ref="A16" authorId="0" shapeId="0" xr:uid="{00000000-0006-0000-4800-000001000000}">
      <text>
        <r>
          <rPr>
            <sz val="8"/>
            <color indexed="81"/>
            <rFont val="Tahoma"/>
            <family val="2"/>
          </rPr>
          <t>SYM</t>
        </r>
      </text>
    </comment>
    <comment ref="B16" authorId="0" shapeId="0" xr:uid="{A51FECBE-52E7-4371-AA44-FE8ACEB7B2AB}">
      <text>
        <r>
          <rPr>
            <sz val="9"/>
            <color indexed="81"/>
            <rFont val="Tahoma"/>
            <family val="2"/>
          </rPr>
          <t>PF</t>
        </r>
      </text>
    </comment>
    <comment ref="C16" authorId="0" shapeId="0" xr:uid="{6A758DB8-9BB6-417C-9AD4-DB71C7DFB309}">
      <text>
        <r>
          <rPr>
            <sz val="9"/>
            <color indexed="81"/>
            <rFont val="Tahoma"/>
            <family val="2"/>
          </rPr>
          <t>PF</t>
        </r>
      </text>
    </comment>
    <comment ref="D16" authorId="0" shapeId="0" xr:uid="{B266573E-2F00-4496-9946-90EF398B5ED3}">
      <text>
        <r>
          <rPr>
            <sz val="9"/>
            <color indexed="81"/>
            <rFont val="Tahoma"/>
            <family val="2"/>
          </rPr>
          <t>PF</t>
        </r>
      </text>
    </comment>
    <comment ref="E16" authorId="0" shapeId="0" xr:uid="{375CDC81-3C34-4FB3-A3F7-40142673A30F}">
      <text>
        <r>
          <rPr>
            <sz val="9"/>
            <color indexed="81"/>
            <rFont val="Tahoma"/>
            <family val="2"/>
          </rPr>
          <t>PF</t>
        </r>
      </text>
    </comment>
    <comment ref="F16" authorId="0" shapeId="0" xr:uid="{D17FD27B-4506-45FB-A71C-B8DE71A4BDB5}">
      <text>
        <r>
          <rPr>
            <sz val="9"/>
            <color indexed="81"/>
            <rFont val="Tahoma"/>
            <family val="2"/>
          </rPr>
          <t>PF</t>
        </r>
      </text>
    </comment>
    <comment ref="G16" authorId="0" shapeId="0" xr:uid="{2417A448-D791-4A4D-9C3F-062C4F247AEB}">
      <text>
        <r>
          <rPr>
            <sz val="9"/>
            <color indexed="81"/>
            <rFont val="Tahoma"/>
            <family val="2"/>
          </rPr>
          <t>PF</t>
        </r>
      </text>
    </comment>
    <comment ref="H16" authorId="0" shapeId="0" xr:uid="{F372F80E-EE93-4C6B-961A-9EAD34A18001}">
      <text>
        <r>
          <rPr>
            <sz val="9"/>
            <color indexed="81"/>
            <rFont val="Tahoma"/>
            <family val="2"/>
          </rPr>
          <t>PF</t>
        </r>
      </text>
    </comment>
    <comment ref="I16" authorId="0" shapeId="0" xr:uid="{2EC2C698-F50E-43C7-8402-861C52C52DC8}">
      <text>
        <r>
          <rPr>
            <sz val="9"/>
            <color indexed="81"/>
            <rFont val="Tahoma"/>
            <family val="2"/>
          </rPr>
          <t>PF</t>
        </r>
      </text>
    </comment>
    <comment ref="J16" authorId="0" shapeId="0" xr:uid="{EE78E234-1CD7-433D-9A09-B1684056D2AD}">
      <text>
        <r>
          <rPr>
            <sz val="9"/>
            <color indexed="81"/>
            <rFont val="Tahoma"/>
            <family val="2"/>
          </rPr>
          <t>PF</t>
        </r>
      </text>
    </comment>
    <comment ref="B24" authorId="0" shapeId="0" xr:uid="{33649FC7-17AD-4E5A-AAD4-EBB8887FAB36}">
      <text>
        <r>
          <rPr>
            <sz val="9"/>
            <color indexed="81"/>
            <rFont val="Tahoma"/>
            <family val="2"/>
          </rPr>
          <t>PF</t>
        </r>
      </text>
    </comment>
    <comment ref="C24" authorId="0" shapeId="0" xr:uid="{72BB9087-0C56-41B3-A3C3-40A83D2F021D}">
      <text>
        <r>
          <rPr>
            <sz val="9"/>
            <color indexed="81"/>
            <rFont val="Tahoma"/>
            <family val="2"/>
          </rPr>
          <t>PF</t>
        </r>
      </text>
    </comment>
    <comment ref="D24" authorId="0" shapeId="0" xr:uid="{0A4EEFA2-FFD8-4E4A-864C-37045D341086}">
      <text>
        <r>
          <rPr>
            <sz val="9"/>
            <color indexed="81"/>
            <rFont val="Tahoma"/>
            <family val="2"/>
          </rPr>
          <t>PF</t>
        </r>
      </text>
    </comment>
    <comment ref="E24" authorId="0" shapeId="0" xr:uid="{F0EACEFA-8558-49B8-AE1C-C05E69611084}">
      <text>
        <r>
          <rPr>
            <sz val="9"/>
            <color indexed="81"/>
            <rFont val="Tahoma"/>
            <family val="2"/>
          </rPr>
          <t>PF</t>
        </r>
      </text>
    </comment>
    <comment ref="F24" authorId="0" shapeId="0" xr:uid="{DF7ED92D-257B-4CEB-83D5-97E8F542463E}">
      <text>
        <r>
          <rPr>
            <sz val="9"/>
            <color indexed="81"/>
            <rFont val="Tahoma"/>
            <family val="2"/>
          </rPr>
          <t>PF</t>
        </r>
      </text>
    </comment>
    <comment ref="L25" authorId="0" shapeId="0" xr:uid="{00000000-0006-0000-4800-000002000000}">
      <text>
        <r>
          <rPr>
            <sz val="8"/>
            <color indexed="81"/>
            <rFont val="Tahoma"/>
            <family val="2"/>
          </rPr>
          <t>Assumed to be the same</t>
        </r>
      </text>
    </comment>
    <comment ref="N25" authorId="0" shapeId="0" xr:uid="{00000000-0006-0000-4800-000003000000}">
      <text>
        <r>
          <rPr>
            <sz val="8"/>
            <color indexed="81"/>
            <rFont val="Tahoma"/>
            <family val="2"/>
          </rPr>
          <t>Assumed to be the same</t>
        </r>
      </text>
    </comment>
    <comment ref="L40" authorId="0" shapeId="0" xr:uid="{00000000-0006-0000-4800-000004000000}">
      <text>
        <r>
          <rPr>
            <sz val="8"/>
            <color indexed="81"/>
            <rFont val="Tahoma"/>
            <family val="2"/>
          </rPr>
          <t>Assumed to be the same</t>
        </r>
      </text>
    </comment>
    <comment ref="B46" authorId="0" shapeId="0" xr:uid="{3DF72EE3-DF3D-434E-A308-83534710CF0F}">
      <text>
        <r>
          <rPr>
            <sz val="9"/>
            <color indexed="81"/>
            <rFont val="Tahoma"/>
            <family val="2"/>
          </rPr>
          <t>PF</t>
        </r>
      </text>
    </comment>
    <comment ref="C46" authorId="0" shapeId="0" xr:uid="{F4E63086-4958-4525-96E6-74C116A3A3F4}">
      <text>
        <r>
          <rPr>
            <sz val="9"/>
            <color indexed="81"/>
            <rFont val="Tahoma"/>
            <family val="2"/>
          </rPr>
          <t>PF</t>
        </r>
      </text>
    </comment>
    <comment ref="D46" authorId="0" shapeId="0" xr:uid="{43098168-4071-4FFB-9C1E-DC28DE78328A}">
      <text>
        <r>
          <rPr>
            <sz val="9"/>
            <color indexed="81"/>
            <rFont val="Tahoma"/>
            <family val="2"/>
          </rPr>
          <t>PF</t>
        </r>
      </text>
    </comment>
    <comment ref="E46" authorId="0" shapeId="0" xr:uid="{DB73957D-4B73-4488-A4B3-01294C140A39}">
      <text>
        <r>
          <rPr>
            <sz val="9"/>
            <color indexed="81"/>
            <rFont val="Tahoma"/>
            <family val="2"/>
          </rPr>
          <t>PF</t>
        </r>
      </text>
    </comment>
    <comment ref="F46" authorId="0" shapeId="0" xr:uid="{076F489B-0C8D-45F0-B5D7-189CD835B9F4}">
      <text>
        <r>
          <rPr>
            <sz val="9"/>
            <color indexed="81"/>
            <rFont val="Tahoma"/>
            <family val="2"/>
          </rPr>
          <t>PF</t>
        </r>
      </text>
    </comment>
    <comment ref="G46" authorId="0" shapeId="0" xr:uid="{F2C62551-D01B-4924-B761-94B1D1D8B7E3}">
      <text>
        <r>
          <rPr>
            <sz val="9"/>
            <color indexed="81"/>
            <rFont val="Tahoma"/>
            <family val="2"/>
          </rPr>
          <t>PF</t>
        </r>
      </text>
    </comment>
    <comment ref="B47" authorId="0" shapeId="0" xr:uid="{F0709C12-005F-44FC-B960-C10CBF47F2F8}">
      <text>
        <r>
          <rPr>
            <sz val="9"/>
            <color indexed="81"/>
            <rFont val="Tahoma"/>
            <family val="2"/>
          </rPr>
          <t>Excluding Synergies</t>
        </r>
      </text>
    </comment>
    <comment ref="C47" authorId="0" shapeId="0" xr:uid="{97D5F5F6-352D-4B6F-94B3-F3C17E124B6F}">
      <text>
        <r>
          <rPr>
            <sz val="9"/>
            <color indexed="81"/>
            <rFont val="Tahoma"/>
            <family val="2"/>
          </rPr>
          <t>Excluding Synergies</t>
        </r>
      </text>
    </comment>
    <comment ref="D47" authorId="0" shapeId="0" xr:uid="{3F25558D-2B55-4D92-B902-AA85BAD260BF}">
      <text>
        <r>
          <rPr>
            <sz val="9"/>
            <color indexed="81"/>
            <rFont val="Tahoma"/>
            <family val="2"/>
          </rPr>
          <t>Excluding Synergies</t>
        </r>
      </text>
    </comment>
    <comment ref="E47" authorId="0" shapeId="0" xr:uid="{3DE95979-B438-4D09-AFAA-E783E6979DF4}">
      <text>
        <r>
          <rPr>
            <sz val="9"/>
            <color indexed="81"/>
            <rFont val="Tahoma"/>
            <family val="2"/>
          </rPr>
          <t>Excluding Synergies</t>
        </r>
      </text>
    </comment>
    <comment ref="F47" authorId="0" shapeId="0" xr:uid="{06E0B430-8EA4-4590-947A-8F4C3437CCCB}">
      <text>
        <r>
          <rPr>
            <sz val="9"/>
            <color indexed="81"/>
            <rFont val="Tahoma"/>
            <family val="2"/>
          </rPr>
          <t>Excluding Synergies</t>
        </r>
      </text>
    </comment>
    <comment ref="G47" authorId="0" shapeId="0" xr:uid="{B3EC4098-108C-4705-880F-69492B1D08BE}">
      <text>
        <r>
          <rPr>
            <sz val="9"/>
            <color indexed="81"/>
            <rFont val="Tahoma"/>
            <family val="2"/>
          </rPr>
          <t>Excluding Synergies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Parikshit Marathe</author>
  </authors>
  <commentList>
    <comment ref="Q47" authorId="0" shapeId="0" xr:uid="{00000000-0006-0000-0700-000001000000}">
      <text>
        <r>
          <rPr>
            <sz val="8"/>
            <color indexed="81"/>
            <rFont val="Tahoma"/>
            <family val="2"/>
          </rPr>
          <t>LTM Adjusted EBITDA</t>
        </r>
      </text>
    </comment>
  </commentList>
</comments>
</file>

<file path=xl/comments50.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A36" authorId="0" shapeId="0" xr:uid="{00000000-0006-0000-4900-000001000000}">
      <text>
        <r>
          <rPr>
            <sz val="8"/>
            <color indexed="81"/>
            <rFont val="Tahoma"/>
            <family val="2"/>
          </rPr>
          <t>Purchase + Sale (Net), excluding intangibles</t>
        </r>
      </text>
    </comment>
  </commentList>
</comments>
</file>

<file path=xl/comments51.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A14" authorId="0" shapeId="0" xr:uid="{00000000-0006-0000-4A00-000001000000}">
      <text>
        <r>
          <rPr>
            <sz val="9"/>
            <color indexed="81"/>
            <rFont val="Tahoma"/>
            <family val="2"/>
          </rPr>
          <t>Constant currency</t>
        </r>
      </text>
    </comment>
    <comment ref="B26" authorId="0" shapeId="0" xr:uid="{BF3DB689-5BD4-4848-A606-BC4C1BFEC8C9}">
      <text>
        <r>
          <rPr>
            <sz val="9"/>
            <color indexed="81"/>
            <rFont val="Tahoma"/>
            <family val="2"/>
          </rPr>
          <t>Assumed to be the same as there was no 8-k</t>
        </r>
      </text>
    </comment>
    <comment ref="J48" authorId="0" shapeId="0" xr:uid="{00000000-0006-0000-4A00-000002000000}">
      <text>
        <r>
          <rPr>
            <sz val="8"/>
            <color indexed="81"/>
            <rFont val="Tahoma"/>
            <family val="2"/>
          </rPr>
          <t>Calculated</t>
        </r>
      </text>
    </comment>
  </commentList>
</comments>
</file>

<file path=xl/comments52.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A16" authorId="0" shapeId="0" xr:uid="{00000000-0006-0000-4B00-000001000000}">
      <text>
        <r>
          <rPr>
            <sz val="8"/>
            <color indexed="81"/>
            <rFont val="Tahoma"/>
            <family val="2"/>
          </rPr>
          <t>OI + Restructuring charges + D&amp;A + SBC</t>
        </r>
      </text>
    </comment>
    <comment ref="E16" authorId="0" shapeId="0" xr:uid="{21B635A1-6777-48F5-A399-EB1ABA53779A}">
      <text>
        <r>
          <rPr>
            <sz val="9"/>
            <color indexed="81"/>
            <rFont val="Tahoma"/>
            <family val="2"/>
          </rPr>
          <t>8-k</t>
        </r>
      </text>
    </comment>
    <comment ref="I16" authorId="0" shapeId="0" xr:uid="{00000000-0006-0000-4B00-000002000000}">
      <text>
        <r>
          <rPr>
            <sz val="8"/>
            <color indexed="81"/>
            <rFont val="Tahoma"/>
            <family val="2"/>
          </rPr>
          <t>3Q18 8k</t>
        </r>
      </text>
    </comment>
    <comment ref="M16" authorId="0" shapeId="0" xr:uid="{00000000-0006-0000-4B00-000003000000}">
      <text>
        <r>
          <rPr>
            <sz val="8"/>
            <color indexed="81"/>
            <rFont val="Tahoma"/>
            <family val="2"/>
          </rPr>
          <t>3Q18 8k</t>
        </r>
      </text>
    </comment>
    <comment ref="N16" authorId="0" shapeId="0" xr:uid="{00000000-0006-0000-4B00-000004000000}">
      <text>
        <r>
          <rPr>
            <sz val="8"/>
            <color indexed="81"/>
            <rFont val="Tahoma"/>
            <family val="2"/>
          </rPr>
          <t>3Q18 8k</t>
        </r>
      </text>
    </comment>
    <comment ref="O16" authorId="0" shapeId="0" xr:uid="{00000000-0006-0000-4B00-000005000000}">
      <text>
        <r>
          <rPr>
            <sz val="8"/>
            <color indexed="81"/>
            <rFont val="Tahoma"/>
            <family val="2"/>
          </rPr>
          <t>3Q18 8k</t>
        </r>
      </text>
    </comment>
    <comment ref="P16" authorId="0" shapeId="0" xr:uid="{00000000-0006-0000-4B00-000006000000}">
      <text>
        <r>
          <rPr>
            <sz val="8"/>
            <color indexed="81"/>
            <rFont val="Tahoma"/>
            <family val="2"/>
          </rPr>
          <t>3Q18 8k</t>
        </r>
      </text>
    </comment>
    <comment ref="M39" authorId="0" shapeId="0" xr:uid="{00000000-0006-0000-4B00-000007000000}">
      <text>
        <r>
          <rPr>
            <sz val="8"/>
            <color indexed="81"/>
            <rFont val="Tahoma"/>
            <family val="2"/>
          </rPr>
          <t>Pro Forma</t>
        </r>
      </text>
    </comment>
    <comment ref="N39" authorId="0" shapeId="0" xr:uid="{00000000-0006-0000-4B00-000008000000}">
      <text>
        <r>
          <rPr>
            <sz val="8"/>
            <color indexed="81"/>
            <rFont val="Tahoma"/>
            <family val="2"/>
          </rPr>
          <t>Pro Forma</t>
        </r>
      </text>
    </comment>
    <comment ref="M40" authorId="0" shapeId="0" xr:uid="{00000000-0006-0000-4B00-000009000000}">
      <text>
        <r>
          <rPr>
            <sz val="8"/>
            <color indexed="81"/>
            <rFont val="Tahoma"/>
            <family val="2"/>
          </rPr>
          <t>Pro Forma</t>
        </r>
      </text>
    </comment>
    <comment ref="N40" authorId="0" shapeId="0" xr:uid="{00000000-0006-0000-4B00-00000A000000}">
      <text>
        <r>
          <rPr>
            <sz val="8"/>
            <color indexed="81"/>
            <rFont val="Tahoma"/>
            <family val="2"/>
          </rPr>
          <t>Pro Forma</t>
        </r>
      </text>
    </comment>
    <comment ref="M41" authorId="0" shapeId="0" xr:uid="{00000000-0006-0000-4B00-00000B000000}">
      <text>
        <r>
          <rPr>
            <sz val="8"/>
            <color indexed="81"/>
            <rFont val="Tahoma"/>
            <family val="2"/>
          </rPr>
          <t>Pro Forma</t>
        </r>
      </text>
    </comment>
    <comment ref="N41" authorId="0" shapeId="0" xr:uid="{00000000-0006-0000-4B00-00000C000000}">
      <text>
        <r>
          <rPr>
            <sz val="8"/>
            <color indexed="81"/>
            <rFont val="Tahoma"/>
            <family val="2"/>
          </rPr>
          <t>Pro Forma</t>
        </r>
      </text>
    </comment>
    <comment ref="H42" authorId="0" shapeId="0" xr:uid="{00000000-0006-0000-4B00-00000D000000}">
      <text>
        <r>
          <rPr>
            <sz val="8"/>
            <color indexed="81"/>
            <rFont val="Tahoma"/>
            <family val="2"/>
          </rPr>
          <t>Presentation</t>
        </r>
      </text>
    </comment>
    <comment ref="I42" authorId="0" shapeId="0" xr:uid="{00000000-0006-0000-4B00-00000E000000}">
      <text>
        <r>
          <rPr>
            <sz val="8"/>
            <color indexed="81"/>
            <rFont val="Tahoma"/>
            <family val="2"/>
          </rPr>
          <t>Presentation</t>
        </r>
      </text>
    </comment>
    <comment ref="M44" authorId="0" shapeId="0" xr:uid="{00000000-0006-0000-4B00-00000F000000}">
      <text>
        <r>
          <rPr>
            <sz val="8"/>
            <color indexed="81"/>
            <rFont val="Tahoma"/>
            <family val="2"/>
          </rPr>
          <t>Pro Forma</t>
        </r>
      </text>
    </comment>
    <comment ref="N44" authorId="0" shapeId="0" xr:uid="{00000000-0006-0000-4B00-000010000000}">
      <text>
        <r>
          <rPr>
            <sz val="8"/>
            <color indexed="81"/>
            <rFont val="Tahoma"/>
            <family val="2"/>
          </rPr>
          <t>Pro Forma</t>
        </r>
      </text>
    </comment>
    <comment ref="J46" authorId="0" shapeId="0" xr:uid="{00000000-0006-0000-4B00-000011000000}">
      <text>
        <r>
          <rPr>
            <sz val="8"/>
            <color indexed="81"/>
            <rFont val="Tahoma"/>
            <family val="2"/>
          </rPr>
          <t>2 Quarters Annualized</t>
        </r>
      </text>
    </comment>
    <comment ref="K46" authorId="0" shapeId="0" xr:uid="{00000000-0006-0000-4B00-000012000000}">
      <text>
        <r>
          <rPr>
            <sz val="8"/>
            <color indexed="81"/>
            <rFont val="Tahoma"/>
            <family val="2"/>
          </rPr>
          <t>2 Quarters Annualized</t>
        </r>
      </text>
    </comment>
    <comment ref="L46" authorId="0" shapeId="0" xr:uid="{00000000-0006-0000-4B00-000013000000}">
      <text>
        <r>
          <rPr>
            <sz val="8"/>
            <color indexed="81"/>
            <rFont val="Tahoma"/>
            <family val="2"/>
          </rPr>
          <t>Assumed to be the same as previous quarter (PF)</t>
        </r>
      </text>
    </comment>
    <comment ref="M46" authorId="0" shapeId="0" xr:uid="{00000000-0006-0000-4B00-000014000000}">
      <text>
        <r>
          <rPr>
            <sz val="8"/>
            <color indexed="81"/>
            <rFont val="Tahoma"/>
            <family val="2"/>
          </rPr>
          <t>Pro Forma</t>
        </r>
      </text>
    </comment>
    <comment ref="N46" authorId="0" shapeId="0" xr:uid="{00000000-0006-0000-4B00-000015000000}">
      <text>
        <r>
          <rPr>
            <sz val="8"/>
            <color indexed="81"/>
            <rFont val="Tahoma"/>
            <family val="2"/>
          </rPr>
          <t>Pro Forma</t>
        </r>
      </text>
    </comment>
    <comment ref="M47" authorId="0" shapeId="0" xr:uid="{00000000-0006-0000-4B00-000016000000}">
      <text>
        <r>
          <rPr>
            <sz val="8"/>
            <color indexed="81"/>
            <rFont val="Tahoma"/>
            <family val="2"/>
          </rPr>
          <t>Pro Forma</t>
        </r>
      </text>
    </comment>
    <comment ref="N47" authorId="0" shapeId="0" xr:uid="{00000000-0006-0000-4B00-000017000000}">
      <text>
        <r>
          <rPr>
            <sz val="8"/>
            <color indexed="81"/>
            <rFont val="Tahoma"/>
            <family val="2"/>
          </rPr>
          <t>Pro Forma</t>
        </r>
      </text>
    </comment>
    <comment ref="M48" authorId="0" shapeId="0" xr:uid="{00000000-0006-0000-4B00-000018000000}">
      <text>
        <r>
          <rPr>
            <sz val="8"/>
            <color indexed="81"/>
            <rFont val="Tahoma"/>
            <family val="2"/>
          </rPr>
          <t>Pro Forma
Source: York Model</t>
        </r>
      </text>
    </comment>
    <comment ref="N48" authorId="0" shapeId="0" xr:uid="{00000000-0006-0000-4B00-000019000000}">
      <text>
        <r>
          <rPr>
            <sz val="8"/>
            <color indexed="81"/>
            <rFont val="Tahoma"/>
            <family val="2"/>
          </rPr>
          <t>Pro Forma
Source: York Model</t>
        </r>
      </text>
    </comment>
  </commentList>
</comments>
</file>

<file path=xl/comments53.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B39" authorId="0" shapeId="0" xr:uid="{8C310A20-E822-40BC-AD19-52FD31F4A8E3}">
      <text>
        <r>
          <rPr>
            <sz val="9"/>
            <color indexed="81"/>
            <rFont val="Tahoma"/>
            <family val="2"/>
          </rPr>
          <t>PF</t>
        </r>
      </text>
    </comment>
    <comment ref="I39" authorId="0" shapeId="0" xr:uid="{00000000-0006-0000-4C00-000001000000}">
      <text>
        <r>
          <rPr>
            <sz val="8"/>
            <color indexed="81"/>
            <rFont val="Tahoma"/>
            <family val="2"/>
          </rPr>
          <t>Pro Forma</t>
        </r>
      </text>
    </comment>
    <comment ref="J39" authorId="0" shapeId="0" xr:uid="{00000000-0006-0000-4C00-000002000000}">
      <text>
        <r>
          <rPr>
            <sz val="8"/>
            <color indexed="81"/>
            <rFont val="Tahoma"/>
            <family val="2"/>
          </rPr>
          <t>Pro Forma</t>
        </r>
      </text>
    </comment>
    <comment ref="B40" authorId="0" shapeId="0" xr:uid="{35C00539-AA24-4143-A900-5D69DA1C9B9E}">
      <text>
        <r>
          <rPr>
            <sz val="9"/>
            <color indexed="81"/>
            <rFont val="Tahoma"/>
            <family val="2"/>
          </rPr>
          <t>PF</t>
        </r>
      </text>
    </comment>
    <comment ref="D40" authorId="0" shapeId="0" xr:uid="{00000000-0006-0000-4C00-000003000000}">
      <text>
        <r>
          <rPr>
            <sz val="9"/>
            <color indexed="81"/>
            <rFont val="Tahoma"/>
            <family val="2"/>
          </rPr>
          <t>Redeemed 4 5/8% senior secured notes due 2023 in 4Q19</t>
        </r>
      </text>
    </comment>
    <comment ref="E40" authorId="0" shapeId="0" xr:uid="{00000000-0006-0000-4C00-000004000000}">
      <text>
        <r>
          <rPr>
            <sz val="8"/>
            <color indexed="81"/>
            <rFont val="Tahoma"/>
            <family val="2"/>
          </rPr>
          <t>Inculdes $750.0mm of Senior Secured notes (PF)</t>
        </r>
      </text>
    </comment>
    <comment ref="I40" authorId="0" shapeId="0" xr:uid="{00000000-0006-0000-4C00-000005000000}">
      <text>
        <r>
          <rPr>
            <sz val="8"/>
            <color indexed="81"/>
            <rFont val="Tahoma"/>
            <family val="2"/>
          </rPr>
          <t>Pro Forma</t>
        </r>
      </text>
    </comment>
    <comment ref="J40" authorId="0" shapeId="0" xr:uid="{00000000-0006-0000-4C00-000006000000}">
      <text>
        <r>
          <rPr>
            <sz val="8"/>
            <color indexed="81"/>
            <rFont val="Tahoma"/>
            <family val="2"/>
          </rPr>
          <t>Pro Forma</t>
        </r>
      </text>
    </comment>
    <comment ref="B41" authorId="0" shapeId="0" xr:uid="{C0E9BA69-B7FE-4B20-9574-4C1E0733389E}">
      <text>
        <r>
          <rPr>
            <sz val="9"/>
            <color indexed="81"/>
            <rFont val="Tahoma"/>
            <family val="2"/>
          </rPr>
          <t>PF</t>
        </r>
      </text>
    </comment>
    <comment ref="I41" authorId="0" shapeId="0" xr:uid="{00000000-0006-0000-4C00-000007000000}">
      <text>
        <r>
          <rPr>
            <sz val="8"/>
            <color indexed="81"/>
            <rFont val="Tahoma"/>
            <family val="2"/>
          </rPr>
          <t>Pro Forma</t>
        </r>
      </text>
    </comment>
    <comment ref="J41" authorId="0" shapeId="0" xr:uid="{00000000-0006-0000-4C00-000008000000}">
      <text>
        <r>
          <rPr>
            <sz val="8"/>
            <color indexed="81"/>
            <rFont val="Tahoma"/>
            <family val="2"/>
          </rPr>
          <t>Pro Forma</t>
        </r>
      </text>
    </comment>
    <comment ref="I42" authorId="0" shapeId="0" xr:uid="{00000000-0006-0000-4C00-000009000000}">
      <text>
        <r>
          <rPr>
            <sz val="8"/>
            <color indexed="81"/>
            <rFont val="Tahoma"/>
            <family val="2"/>
          </rPr>
          <t>Pro Forma</t>
        </r>
      </text>
    </comment>
    <comment ref="J42" authorId="0" shapeId="0" xr:uid="{00000000-0006-0000-4C00-00000A000000}">
      <text>
        <r>
          <rPr>
            <sz val="8"/>
            <color indexed="81"/>
            <rFont val="Tahoma"/>
            <family val="2"/>
          </rPr>
          <t>Pro Forma</t>
        </r>
      </text>
    </comment>
    <comment ref="B44" authorId="0" shapeId="0" xr:uid="{5735EF63-8463-4918-96BB-63A0AB08EF8F}">
      <text>
        <r>
          <rPr>
            <sz val="9"/>
            <color indexed="81"/>
            <rFont val="Tahoma"/>
            <family val="2"/>
          </rPr>
          <t>PF</t>
        </r>
      </text>
    </comment>
    <comment ref="I44" authorId="0" shapeId="0" xr:uid="{00000000-0006-0000-4C00-00000B000000}">
      <text>
        <r>
          <rPr>
            <sz val="8"/>
            <color indexed="81"/>
            <rFont val="Tahoma"/>
            <family val="2"/>
          </rPr>
          <t>Pro Forma</t>
        </r>
      </text>
    </comment>
    <comment ref="J44" authorId="0" shapeId="0" xr:uid="{00000000-0006-0000-4C00-00000C000000}">
      <text>
        <r>
          <rPr>
            <sz val="8"/>
            <color indexed="81"/>
            <rFont val="Tahoma"/>
            <family val="2"/>
          </rPr>
          <t>Pro Forma</t>
        </r>
      </text>
    </comment>
    <comment ref="I46" authorId="0" shapeId="0" xr:uid="{00000000-0006-0000-4C00-00000D000000}">
      <text>
        <r>
          <rPr>
            <sz val="8"/>
            <color indexed="81"/>
            <rFont val="Tahoma"/>
            <family val="2"/>
          </rPr>
          <t>Pro Forma for LTM 6/30/2018</t>
        </r>
      </text>
    </comment>
    <comment ref="J46" authorId="0" shapeId="0" xr:uid="{00000000-0006-0000-4C00-00000E000000}">
      <text>
        <r>
          <rPr>
            <sz val="8"/>
            <color indexed="81"/>
            <rFont val="Tahoma"/>
            <family val="2"/>
          </rPr>
          <t>Pro Forma for LTM 6/30/2018</t>
        </r>
      </text>
    </comment>
  </commentList>
</comments>
</file>

<file path=xl/comments54.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N39" authorId="0" shapeId="0" xr:uid="{00000000-0006-0000-4D00-000001000000}">
      <text>
        <r>
          <rPr>
            <sz val="8"/>
            <color indexed="81"/>
            <rFont val="Tahoma"/>
            <family val="2"/>
          </rPr>
          <t>Pro Forma</t>
        </r>
      </text>
    </comment>
    <comment ref="N40" authorId="0" shapeId="0" xr:uid="{00000000-0006-0000-4D00-000002000000}">
      <text>
        <r>
          <rPr>
            <sz val="8"/>
            <color indexed="81"/>
            <rFont val="Tahoma"/>
            <family val="2"/>
          </rPr>
          <t>Pro Forma</t>
        </r>
      </text>
    </comment>
    <comment ref="N41" authorId="0" shapeId="0" xr:uid="{00000000-0006-0000-4D00-000003000000}">
      <text>
        <r>
          <rPr>
            <sz val="8"/>
            <color indexed="81"/>
            <rFont val="Tahoma"/>
            <family val="2"/>
          </rPr>
          <t>Pro Forma</t>
        </r>
      </text>
    </comment>
    <comment ref="N42" authorId="0" shapeId="0" xr:uid="{00000000-0006-0000-4D00-000004000000}">
      <text>
        <r>
          <rPr>
            <sz val="8"/>
            <color indexed="81"/>
            <rFont val="Tahoma"/>
            <family val="2"/>
          </rPr>
          <t>Pro Forma</t>
        </r>
      </text>
    </comment>
    <comment ref="N44" authorId="0" shapeId="0" xr:uid="{00000000-0006-0000-4D00-000005000000}">
      <text>
        <r>
          <rPr>
            <sz val="8"/>
            <color indexed="81"/>
            <rFont val="Tahoma"/>
            <family val="2"/>
          </rPr>
          <t>Pro Forma</t>
        </r>
      </text>
    </comment>
    <comment ref="I46" authorId="0" shapeId="0" xr:uid="{00000000-0006-0000-4D00-000006000000}">
      <text>
        <r>
          <rPr>
            <sz val="8"/>
            <color indexed="81"/>
            <rFont val="Tahoma"/>
            <family val="2"/>
          </rPr>
          <t>Three Quarters Annualized</t>
        </r>
      </text>
    </comment>
    <comment ref="N46" authorId="0" shapeId="0" xr:uid="{00000000-0006-0000-4D00-000007000000}">
      <text>
        <r>
          <rPr>
            <sz val="8"/>
            <color indexed="81"/>
            <rFont val="Tahoma"/>
            <family val="2"/>
          </rPr>
          <t>Pro Forma</t>
        </r>
      </text>
    </comment>
    <comment ref="N47" authorId="0" shapeId="0" xr:uid="{00000000-0006-0000-4D00-000008000000}">
      <text>
        <r>
          <rPr>
            <sz val="8"/>
            <color indexed="81"/>
            <rFont val="Tahoma"/>
            <family val="2"/>
          </rPr>
          <t>Pro Forma</t>
        </r>
      </text>
    </comment>
    <comment ref="N48" authorId="0" shapeId="0" xr:uid="{00000000-0006-0000-4D00-000009000000}">
      <text>
        <r>
          <rPr>
            <sz val="8"/>
            <color indexed="81"/>
            <rFont val="Tahoma"/>
            <family val="2"/>
          </rPr>
          <t>Pro Forma</t>
        </r>
      </text>
    </comment>
  </commentList>
</comments>
</file>

<file path=xl/comments55.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A35" authorId="0" shapeId="0" xr:uid="{00000000-0006-0000-4E00-000001000000}">
      <text>
        <r>
          <rPr>
            <sz val="8"/>
            <color indexed="81"/>
            <rFont val="Tahoma"/>
            <family val="2"/>
          </rPr>
          <t>Balancing Figure</t>
        </r>
      </text>
    </comment>
  </commentList>
</comments>
</file>

<file path=xl/comments56.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J16" authorId="0" shapeId="0" xr:uid="{00000000-0006-0000-4F00-000001000000}">
      <text>
        <r>
          <rPr>
            <sz val="8"/>
            <color indexed="81"/>
            <rFont val="Tahoma"/>
            <family val="2"/>
          </rPr>
          <t>Self Calculated</t>
        </r>
      </text>
    </comment>
    <comment ref="K16" authorId="0" shapeId="0" xr:uid="{00000000-0006-0000-4F00-000002000000}">
      <text>
        <r>
          <rPr>
            <sz val="8"/>
            <color indexed="81"/>
            <rFont val="Tahoma"/>
            <family val="2"/>
          </rPr>
          <t>LTM 3Q19 - YTD 3Q19 from 3Q19 Presentation</t>
        </r>
      </text>
    </comment>
    <comment ref="N16" authorId="0" shapeId="0" xr:uid="{00000000-0006-0000-4F00-000003000000}">
      <text>
        <r>
          <rPr>
            <sz val="8"/>
            <color indexed="81"/>
            <rFont val="Tahoma"/>
            <family val="2"/>
          </rPr>
          <t>Self Calculated</t>
        </r>
      </text>
    </comment>
    <comment ref="I25" authorId="0" shapeId="0" xr:uid="{00000000-0006-0000-4F00-000004000000}">
      <text>
        <r>
          <rPr>
            <sz val="8"/>
            <color indexed="81"/>
            <rFont val="Tahoma"/>
            <family val="2"/>
          </rPr>
          <t>Debt and LTM EBITDA for last three quarters sourced from 2Q19 Presentation</t>
        </r>
      </text>
    </comment>
    <comment ref="H44" authorId="0" shapeId="0" xr:uid="{00000000-0006-0000-4F00-000005000000}">
      <text>
        <r>
          <rPr>
            <sz val="8"/>
            <color indexed="81"/>
            <rFont val="Tahoma"/>
            <family val="2"/>
          </rPr>
          <t>Excluding Restricted Cash</t>
        </r>
      </text>
    </comment>
    <comment ref="K48" authorId="0" shapeId="0" xr:uid="{00000000-0006-0000-4F00-000006000000}">
      <text>
        <r>
          <rPr>
            <sz val="8"/>
            <color indexed="81"/>
            <rFont val="Tahoma"/>
            <family val="2"/>
          </rPr>
          <t>Calculated</t>
        </r>
      </text>
    </comment>
  </commentList>
</comments>
</file>

<file path=xl/comments57.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J39" authorId="0" shapeId="0" xr:uid="{00000000-0006-0000-5000-000001000000}">
      <text>
        <r>
          <rPr>
            <sz val="8"/>
            <color indexed="81"/>
            <rFont val="Tahoma"/>
            <family val="2"/>
          </rPr>
          <t>PF</t>
        </r>
      </text>
    </comment>
    <comment ref="K39" authorId="0" shapeId="0" xr:uid="{00000000-0006-0000-5000-000002000000}">
      <text>
        <r>
          <rPr>
            <sz val="8"/>
            <color indexed="81"/>
            <rFont val="Tahoma"/>
            <family val="2"/>
          </rPr>
          <t>PF</t>
        </r>
      </text>
    </comment>
    <comment ref="L39" authorId="0" shapeId="0" xr:uid="{00000000-0006-0000-5000-000003000000}">
      <text>
        <r>
          <rPr>
            <sz val="8"/>
            <color indexed="81"/>
            <rFont val="Tahoma"/>
            <family val="2"/>
          </rPr>
          <t>PF</t>
        </r>
      </text>
    </comment>
    <comment ref="J40" authorId="0" shapeId="0" xr:uid="{00000000-0006-0000-5000-000004000000}">
      <text>
        <r>
          <rPr>
            <sz val="8"/>
            <color indexed="81"/>
            <rFont val="Tahoma"/>
            <family val="2"/>
          </rPr>
          <t>PF</t>
        </r>
      </text>
    </comment>
    <comment ref="K40" authorId="0" shapeId="0" xr:uid="{00000000-0006-0000-5000-000005000000}">
      <text>
        <r>
          <rPr>
            <sz val="8"/>
            <color indexed="81"/>
            <rFont val="Tahoma"/>
            <family val="2"/>
          </rPr>
          <t>PF</t>
        </r>
      </text>
    </comment>
    <comment ref="L40" authorId="0" shapeId="0" xr:uid="{00000000-0006-0000-5000-000006000000}">
      <text>
        <r>
          <rPr>
            <sz val="8"/>
            <color indexed="81"/>
            <rFont val="Tahoma"/>
            <family val="2"/>
          </rPr>
          <t>PF</t>
        </r>
      </text>
    </comment>
    <comment ref="J41" authorId="0" shapeId="0" xr:uid="{00000000-0006-0000-5000-000007000000}">
      <text>
        <r>
          <rPr>
            <sz val="8"/>
            <color indexed="81"/>
            <rFont val="Tahoma"/>
            <family val="2"/>
          </rPr>
          <t>PF</t>
        </r>
      </text>
    </comment>
    <comment ref="K41" authorId="0" shapeId="0" xr:uid="{00000000-0006-0000-5000-000008000000}">
      <text>
        <r>
          <rPr>
            <sz val="8"/>
            <color indexed="81"/>
            <rFont val="Tahoma"/>
            <family val="2"/>
          </rPr>
          <t>PF</t>
        </r>
      </text>
    </comment>
    <comment ref="L41" authorId="0" shapeId="0" xr:uid="{00000000-0006-0000-5000-000009000000}">
      <text>
        <r>
          <rPr>
            <sz val="8"/>
            <color indexed="81"/>
            <rFont val="Tahoma"/>
            <family val="2"/>
          </rPr>
          <t>PF</t>
        </r>
      </text>
    </comment>
    <comment ref="J42" authorId="0" shapeId="0" xr:uid="{00000000-0006-0000-5000-00000A000000}">
      <text>
        <r>
          <rPr>
            <sz val="8"/>
            <color indexed="81"/>
            <rFont val="Tahoma"/>
            <family val="2"/>
          </rPr>
          <t>PF</t>
        </r>
      </text>
    </comment>
    <comment ref="K42" authorId="0" shapeId="0" xr:uid="{00000000-0006-0000-5000-00000B000000}">
      <text>
        <r>
          <rPr>
            <sz val="8"/>
            <color indexed="81"/>
            <rFont val="Tahoma"/>
            <family val="2"/>
          </rPr>
          <t>PF</t>
        </r>
      </text>
    </comment>
    <comment ref="L42" authorId="0" shapeId="0" xr:uid="{00000000-0006-0000-5000-00000C000000}">
      <text>
        <r>
          <rPr>
            <sz val="8"/>
            <color indexed="81"/>
            <rFont val="Tahoma"/>
            <family val="2"/>
          </rPr>
          <t>PF</t>
        </r>
      </text>
    </comment>
    <comment ref="J44" authorId="0" shapeId="0" xr:uid="{00000000-0006-0000-5000-00000D000000}">
      <text>
        <r>
          <rPr>
            <sz val="8"/>
            <color indexed="81"/>
            <rFont val="Tahoma"/>
            <family val="2"/>
          </rPr>
          <t>PF</t>
        </r>
      </text>
    </comment>
    <comment ref="K44" authorId="0" shapeId="0" xr:uid="{00000000-0006-0000-5000-00000E000000}">
      <text>
        <r>
          <rPr>
            <sz val="8"/>
            <color indexed="81"/>
            <rFont val="Tahoma"/>
            <family val="2"/>
          </rPr>
          <t>PF</t>
        </r>
      </text>
    </comment>
    <comment ref="L44" authorId="0" shapeId="0" xr:uid="{00000000-0006-0000-5000-00000F000000}">
      <text>
        <r>
          <rPr>
            <sz val="8"/>
            <color indexed="81"/>
            <rFont val="Tahoma"/>
            <family val="2"/>
          </rPr>
          <t>PF</t>
        </r>
      </text>
    </comment>
  </commentList>
</comments>
</file>

<file path=xl/comments58.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G12" authorId="0" shapeId="0" xr:uid="{00000000-0006-0000-5100-000001000000}">
      <text>
        <r>
          <rPr>
            <sz val="9"/>
            <color indexed="81"/>
            <rFont val="Tahoma"/>
            <family val="2"/>
          </rPr>
          <t>PF for Abra</t>
        </r>
      </text>
    </comment>
    <comment ref="K12" authorId="0" shapeId="0" xr:uid="{00000000-0006-0000-5100-000005000000}">
      <text>
        <r>
          <rPr>
            <sz val="9"/>
            <color indexed="81"/>
            <rFont val="Tahoma"/>
            <family val="2"/>
          </rPr>
          <t>PF for Abra</t>
        </r>
      </text>
    </comment>
    <comment ref="H14" authorId="0" shapeId="0" xr:uid="{00000000-0006-0000-5100-000006000000}">
      <text>
        <r>
          <rPr>
            <sz val="9"/>
            <color indexed="81"/>
            <rFont val="Tahoma"/>
            <family val="2"/>
          </rPr>
          <t>Source: 3Q19 Presentation</t>
        </r>
      </text>
    </comment>
    <comment ref="G16" authorId="0" shapeId="0" xr:uid="{00000000-0006-0000-5100-000007000000}">
      <text>
        <r>
          <rPr>
            <sz val="9"/>
            <color indexed="81"/>
            <rFont val="Tahoma"/>
            <family val="2"/>
          </rPr>
          <t>PF for Abra</t>
        </r>
      </text>
    </comment>
    <comment ref="K16" authorId="0" shapeId="0" xr:uid="{00000000-0006-0000-5100-00000B000000}">
      <text>
        <r>
          <rPr>
            <sz val="9"/>
            <color indexed="81"/>
            <rFont val="Tahoma"/>
            <family val="2"/>
          </rPr>
          <t>PF for Abra</t>
        </r>
      </text>
    </comment>
    <comment ref="G26" authorId="0" shapeId="0" xr:uid="{00000000-0006-0000-5100-00000C000000}">
      <text>
        <r>
          <rPr>
            <sz val="9"/>
            <color indexed="81"/>
            <rFont val="Tahoma"/>
            <family val="2"/>
          </rPr>
          <t>Includes Property tax</t>
        </r>
      </text>
    </comment>
    <comment ref="H26" authorId="0" shapeId="0" xr:uid="{00000000-0006-0000-5100-00000D000000}">
      <text>
        <r>
          <rPr>
            <sz val="9"/>
            <color indexed="81"/>
            <rFont val="Tahoma"/>
            <family val="2"/>
          </rPr>
          <t>Includes Property tax</t>
        </r>
      </text>
    </comment>
    <comment ref="I40" authorId="0" shapeId="0" xr:uid="{00000000-0006-0000-5100-00000E000000}">
      <text>
        <r>
          <rPr>
            <sz val="8"/>
            <color indexed="81"/>
            <rFont val="Tahoma"/>
            <family val="2"/>
          </rPr>
          <t>Annual amortization of 1% converted into quarters</t>
        </r>
      </text>
    </comment>
    <comment ref="J40" authorId="0" shapeId="0" xr:uid="{00000000-0006-0000-5100-00000F000000}">
      <text>
        <r>
          <rPr>
            <sz val="8"/>
            <color indexed="81"/>
            <rFont val="Tahoma"/>
            <family val="2"/>
          </rPr>
          <t>Annual amortization of 1% converted into quarters</t>
        </r>
      </text>
    </comment>
    <comment ref="I46" authorId="0" shapeId="0" xr:uid="{00000000-0006-0000-5100-000012000000}">
      <text>
        <r>
          <rPr>
            <sz val="9"/>
            <color indexed="81"/>
            <rFont val="Tahoma"/>
            <family val="2"/>
          </rPr>
          <t>Source: 3Q19 Presentation</t>
        </r>
      </text>
    </comment>
    <comment ref="J46" authorId="0" shapeId="0" xr:uid="{00000000-0006-0000-5100-000013000000}">
      <text>
        <r>
          <rPr>
            <sz val="9"/>
            <color indexed="81"/>
            <rFont val="Tahoma"/>
            <family val="2"/>
          </rPr>
          <t>Source: 3Q19 Presentation</t>
        </r>
      </text>
    </comment>
    <comment ref="K46" authorId="0" shapeId="0" xr:uid="{00000000-0006-0000-5100-000014000000}">
      <text>
        <r>
          <rPr>
            <sz val="9"/>
            <color indexed="81"/>
            <rFont val="Tahoma"/>
            <family val="2"/>
          </rPr>
          <t>Source: 3Q19 Presentation</t>
        </r>
      </text>
    </comment>
  </commentList>
</comments>
</file>

<file path=xl/comments59.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N12" authorId="0" shapeId="0" xr:uid="{00000000-0006-0000-5200-000003000000}">
      <text>
        <r>
          <rPr>
            <sz val="8"/>
            <color indexed="81"/>
            <rFont val="Tahoma"/>
            <family val="2"/>
          </rPr>
          <t>Restated Numbers from 1Q19</t>
        </r>
      </text>
    </comment>
    <comment ref="O12" authorId="0" shapeId="0" xr:uid="{00000000-0006-0000-5200-000004000000}">
      <text>
        <r>
          <rPr>
            <sz val="8"/>
            <color indexed="81"/>
            <rFont val="Tahoma"/>
            <family val="2"/>
          </rPr>
          <t>Restated Numbers from 1Q19</t>
        </r>
      </text>
    </comment>
    <comment ref="N22" authorId="0" shapeId="0" xr:uid="{00000000-0006-0000-5200-000007000000}">
      <text>
        <r>
          <rPr>
            <sz val="8"/>
            <color indexed="81"/>
            <rFont val="Tahoma"/>
            <family val="2"/>
          </rPr>
          <t>Restated Numbers from 1Q19</t>
        </r>
      </text>
    </comment>
    <comment ref="O22" authorId="0" shapeId="0" xr:uid="{00000000-0006-0000-5200-000008000000}">
      <text>
        <r>
          <rPr>
            <sz val="8"/>
            <color indexed="81"/>
            <rFont val="Tahoma"/>
            <family val="2"/>
          </rPr>
          <t>Restated Numbers from 1Q19</t>
        </r>
      </text>
    </comment>
    <comment ref="C35" authorId="0" shapeId="0" xr:uid="{978085DF-06AA-4B4C-9FAB-13553C1DC33B}">
      <text>
        <r>
          <rPr>
            <sz val="9"/>
            <color indexed="81"/>
            <rFont val="Tahoma"/>
            <family val="2"/>
          </rPr>
          <t>Assumed to be the bal fig due to lack of information (SYM)</t>
        </r>
      </text>
    </comment>
    <comment ref="J39" authorId="0" shapeId="0" xr:uid="{00000000-0006-0000-5200-00000A000000}">
      <text>
        <r>
          <rPr>
            <sz val="8"/>
            <color indexed="81"/>
            <rFont val="Tahoma"/>
            <family val="2"/>
          </rPr>
          <t>PF</t>
        </r>
      </text>
    </comment>
    <comment ref="J40" authorId="0" shapeId="0" xr:uid="{00000000-0006-0000-5200-00000B000000}">
      <text>
        <r>
          <rPr>
            <sz val="8"/>
            <color indexed="81"/>
            <rFont val="Tahoma"/>
            <family val="2"/>
          </rPr>
          <t>PF</t>
        </r>
      </text>
    </comment>
    <comment ref="J41" authorId="0" shapeId="0" xr:uid="{00000000-0006-0000-5200-00000C000000}">
      <text>
        <r>
          <rPr>
            <sz val="8"/>
            <color indexed="81"/>
            <rFont val="Tahoma"/>
            <family val="2"/>
          </rPr>
          <t>PF</t>
        </r>
      </text>
    </comment>
    <comment ref="J44" authorId="0" shapeId="0" xr:uid="{00000000-0006-0000-5200-00000D000000}">
      <text>
        <r>
          <rPr>
            <sz val="8"/>
            <color indexed="81"/>
            <rFont val="Tahoma"/>
            <family val="2"/>
          </rPr>
          <t>PF</t>
        </r>
      </text>
    </comment>
    <comment ref="K46" authorId="0" shapeId="0" xr:uid="{00000000-0006-0000-5200-00000E000000}">
      <text>
        <r>
          <rPr>
            <sz val="8"/>
            <color indexed="81"/>
            <rFont val="Tahoma"/>
            <family val="2"/>
          </rPr>
          <t>Restated</t>
        </r>
      </text>
    </comment>
    <comment ref="J47" authorId="0" shapeId="0" xr:uid="{00000000-0006-0000-5200-00000F000000}">
      <text>
        <r>
          <rPr>
            <sz val="8"/>
            <color indexed="81"/>
            <rFont val="Tahoma"/>
            <family val="2"/>
          </rPr>
          <t>PF</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Parikshit Marathe</author>
  </authors>
  <commentList>
    <comment ref="A16" authorId="0" shapeId="0" xr:uid="{00000000-0006-0000-0800-000001000000}">
      <text>
        <r>
          <rPr>
            <sz val="8"/>
            <color indexed="81"/>
            <rFont val="Tahoma"/>
            <family val="2"/>
          </rPr>
          <t>Reported Operating income
+ Depreciation &amp; Amortization
+ Stock based compensation</t>
        </r>
      </text>
    </comment>
  </commentList>
</comments>
</file>

<file path=xl/comments60.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L12" authorId="0" shapeId="0" xr:uid="{00000000-0006-0000-5300-000002000000}">
      <text>
        <r>
          <rPr>
            <sz val="8"/>
            <color indexed="81"/>
            <rFont val="Tahoma"/>
            <family val="2"/>
          </rPr>
          <t>12months - 9months</t>
        </r>
      </text>
    </comment>
    <comment ref="N12" authorId="0" shapeId="0" xr:uid="{00000000-0006-0000-5300-000003000000}">
      <text>
        <r>
          <rPr>
            <sz val="8"/>
            <color indexed="81"/>
            <rFont val="Tahoma"/>
            <family val="2"/>
          </rPr>
          <t>9months - 3months</t>
        </r>
      </text>
    </comment>
    <comment ref="K16" authorId="0" shapeId="0" xr:uid="{00000000-0006-0000-5300-000005000000}">
      <text>
        <r>
          <rPr>
            <sz val="9"/>
            <color indexed="81"/>
            <rFont val="Tahoma"/>
            <family val="2"/>
          </rPr>
          <t>PF</t>
        </r>
      </text>
    </comment>
    <comment ref="K39" authorId="0" shapeId="0" xr:uid="{00000000-0006-0000-5300-000006000000}">
      <text>
        <r>
          <rPr>
            <sz val="8"/>
            <color indexed="81"/>
            <rFont val="Tahoma"/>
            <family val="2"/>
          </rPr>
          <t>Pro Forma</t>
        </r>
      </text>
    </comment>
    <comment ref="K40" authorId="0" shapeId="0" xr:uid="{00000000-0006-0000-5300-000007000000}">
      <text>
        <r>
          <rPr>
            <sz val="8"/>
            <color indexed="81"/>
            <rFont val="Tahoma"/>
            <family val="2"/>
          </rPr>
          <t>Pro Forma</t>
        </r>
      </text>
    </comment>
    <comment ref="K41" authorId="0" shapeId="0" xr:uid="{00000000-0006-0000-5300-000008000000}">
      <text>
        <r>
          <rPr>
            <sz val="8"/>
            <color indexed="81"/>
            <rFont val="Tahoma"/>
            <family val="2"/>
          </rPr>
          <t>Pro Forma</t>
        </r>
      </text>
    </comment>
    <comment ref="K42" authorId="0" shapeId="0" xr:uid="{00000000-0006-0000-5300-000009000000}">
      <text>
        <r>
          <rPr>
            <sz val="8"/>
            <color indexed="81"/>
            <rFont val="Tahoma"/>
            <family val="2"/>
          </rPr>
          <t>Pro Forma</t>
        </r>
      </text>
    </comment>
    <comment ref="K44" authorId="0" shapeId="0" xr:uid="{00000000-0006-0000-5300-00000A000000}">
      <text>
        <r>
          <rPr>
            <sz val="8"/>
            <color indexed="81"/>
            <rFont val="Tahoma"/>
            <family val="2"/>
          </rPr>
          <t>Pro Forma</t>
        </r>
      </text>
    </comment>
    <comment ref="K46" authorId="0" shapeId="0" xr:uid="{00000000-0006-0000-5300-00000B000000}">
      <text>
        <r>
          <rPr>
            <sz val="8"/>
            <color indexed="81"/>
            <rFont val="Tahoma"/>
            <family val="2"/>
          </rPr>
          <t>Pro Forma</t>
        </r>
      </text>
    </comment>
    <comment ref="K47" authorId="0" shapeId="0" xr:uid="{00000000-0006-0000-5300-00000C000000}">
      <text>
        <r>
          <rPr>
            <sz val="8"/>
            <color indexed="81"/>
            <rFont val="Tahoma"/>
            <family val="2"/>
          </rPr>
          <t>Pro Forma</t>
        </r>
      </text>
    </comment>
    <comment ref="H48" authorId="0" shapeId="0" xr:uid="{00000000-0006-0000-5300-00000D000000}">
      <text>
        <r>
          <rPr>
            <sz val="9"/>
            <color indexed="81"/>
            <rFont val="Tahoma"/>
            <family val="2"/>
          </rPr>
          <t>Sourced from company financials</t>
        </r>
      </text>
    </comment>
    <comment ref="K48" authorId="0" shapeId="0" xr:uid="{00000000-0006-0000-5300-00000E000000}">
      <text>
        <r>
          <rPr>
            <sz val="8"/>
            <color indexed="81"/>
            <rFont val="Tahoma"/>
            <family val="2"/>
          </rPr>
          <t>Pro Forma</t>
        </r>
      </text>
    </comment>
  </commentList>
</comments>
</file>

<file path=xl/comments61.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H25" authorId="0" shapeId="0" xr:uid="{00000000-0006-0000-5400-000001000000}">
      <text>
        <r>
          <rPr>
            <b/>
            <sz val="9"/>
            <color indexed="81"/>
            <rFont val="Tahoma"/>
            <family val="2"/>
          </rPr>
          <t>Source: 3Q19 Presentation</t>
        </r>
      </text>
    </comment>
    <comment ref="J39" authorId="0" shapeId="0" xr:uid="{00000000-0006-0000-5400-000002000000}">
      <text>
        <r>
          <rPr>
            <sz val="8"/>
            <color indexed="81"/>
            <rFont val="Tahoma"/>
            <family val="2"/>
          </rPr>
          <t>PF</t>
        </r>
      </text>
    </comment>
    <comment ref="K39" authorId="0" shapeId="0" xr:uid="{00000000-0006-0000-5400-000003000000}">
      <text>
        <r>
          <rPr>
            <sz val="8"/>
            <color indexed="81"/>
            <rFont val="Tahoma"/>
            <family val="2"/>
          </rPr>
          <t>PF</t>
        </r>
      </text>
    </comment>
    <comment ref="J40" authorId="0" shapeId="0" xr:uid="{00000000-0006-0000-5400-000004000000}">
      <text>
        <r>
          <rPr>
            <sz val="8"/>
            <color indexed="81"/>
            <rFont val="Tahoma"/>
            <family val="2"/>
          </rPr>
          <t>PF</t>
        </r>
      </text>
    </comment>
    <comment ref="K40" authorId="0" shapeId="0" xr:uid="{00000000-0006-0000-5400-000005000000}">
      <text>
        <r>
          <rPr>
            <sz val="8"/>
            <color indexed="81"/>
            <rFont val="Tahoma"/>
            <family val="2"/>
          </rPr>
          <t>PF</t>
        </r>
      </text>
    </comment>
    <comment ref="J41" authorId="0" shapeId="0" xr:uid="{00000000-0006-0000-5400-000006000000}">
      <text>
        <r>
          <rPr>
            <sz val="8"/>
            <color indexed="81"/>
            <rFont val="Tahoma"/>
            <family val="2"/>
          </rPr>
          <t>PF</t>
        </r>
      </text>
    </comment>
    <comment ref="K41" authorId="0" shapeId="0" xr:uid="{00000000-0006-0000-5400-000007000000}">
      <text>
        <r>
          <rPr>
            <sz val="8"/>
            <color indexed="81"/>
            <rFont val="Tahoma"/>
            <family val="2"/>
          </rPr>
          <t>PF</t>
        </r>
      </text>
    </comment>
    <comment ref="J42" authorId="0" shapeId="0" xr:uid="{00000000-0006-0000-5400-000008000000}">
      <text>
        <r>
          <rPr>
            <sz val="8"/>
            <color indexed="81"/>
            <rFont val="Tahoma"/>
            <family val="2"/>
          </rPr>
          <t>PF</t>
        </r>
      </text>
    </comment>
    <comment ref="K42" authorId="0" shapeId="0" xr:uid="{00000000-0006-0000-5400-000009000000}">
      <text>
        <r>
          <rPr>
            <sz val="8"/>
            <color indexed="81"/>
            <rFont val="Tahoma"/>
            <family val="2"/>
          </rPr>
          <t>PF</t>
        </r>
      </text>
    </comment>
    <comment ref="J44" authorId="0" shapeId="0" xr:uid="{00000000-0006-0000-5400-00000A000000}">
      <text>
        <r>
          <rPr>
            <sz val="8"/>
            <color indexed="81"/>
            <rFont val="Tahoma"/>
            <family val="2"/>
          </rPr>
          <t>PF</t>
        </r>
      </text>
    </comment>
    <comment ref="K44" authorId="0" shapeId="0" xr:uid="{00000000-0006-0000-5400-00000B000000}">
      <text>
        <r>
          <rPr>
            <sz val="8"/>
            <color indexed="81"/>
            <rFont val="Tahoma"/>
            <family val="2"/>
          </rPr>
          <t>PF</t>
        </r>
      </text>
    </comment>
    <comment ref="G48" authorId="0" shapeId="0" xr:uid="{00000000-0006-0000-5400-00000C000000}">
      <text>
        <r>
          <rPr>
            <sz val="9"/>
            <color indexed="81"/>
            <rFont val="Tahoma"/>
            <family val="2"/>
          </rPr>
          <t>FCF is PF Adj. EBITDA - Capex</t>
        </r>
      </text>
    </comment>
    <comment ref="H48" authorId="0" shapeId="0" xr:uid="{00000000-0006-0000-5400-00000D000000}">
      <text>
        <r>
          <rPr>
            <sz val="8"/>
            <color indexed="81"/>
            <rFont val="Tahoma"/>
            <family val="2"/>
          </rPr>
          <t>Calculated</t>
        </r>
      </text>
    </comment>
    <comment ref="I48" authorId="0" shapeId="0" xr:uid="{00000000-0006-0000-5400-00000E000000}">
      <text>
        <r>
          <rPr>
            <sz val="8"/>
            <color indexed="81"/>
            <rFont val="Tahoma"/>
            <family val="2"/>
          </rPr>
          <t>Calculated</t>
        </r>
      </text>
    </comment>
  </commentList>
</comments>
</file>

<file path=xl/comments62.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A35" authorId="0" shapeId="0" xr:uid="{00000000-0006-0000-5500-000001000000}">
      <text>
        <r>
          <rPr>
            <sz val="8"/>
            <color indexed="81"/>
            <rFont val="Tahoma"/>
            <family val="2"/>
          </rPr>
          <t>Balancing figure</t>
        </r>
      </text>
    </comment>
    <comment ref="B41" authorId="0" shapeId="0" xr:uid="{B7A421FF-5C02-4F4E-A15C-9B01A23785BF}">
      <text>
        <r>
          <rPr>
            <sz val="8"/>
            <color indexed="81"/>
            <rFont val="Tahoma"/>
            <family val="2"/>
          </rPr>
          <t>Includes Blackstones Holdco Debt (Term Loan)</t>
        </r>
      </text>
    </comment>
    <comment ref="C41" authorId="0" shapeId="0" xr:uid="{A897B4A7-B236-4DED-B8CD-87A7E83728EA}">
      <text>
        <r>
          <rPr>
            <sz val="8"/>
            <color indexed="81"/>
            <rFont val="Tahoma"/>
            <family val="2"/>
          </rPr>
          <t>Includes Blackstones Holdco Debt (Term Loan)</t>
        </r>
      </text>
    </comment>
    <comment ref="D41" authorId="0" shapeId="0" xr:uid="{B31FF739-9B7A-4D18-A83D-ADF7B0167E77}">
      <text>
        <r>
          <rPr>
            <sz val="8"/>
            <color indexed="81"/>
            <rFont val="Tahoma"/>
            <family val="2"/>
          </rPr>
          <t>Includes Blackstones Holdco Debt (Term Loan)</t>
        </r>
      </text>
    </comment>
    <comment ref="E41" authorId="0" shapeId="0" xr:uid="{9A43A3C5-2E44-43BA-828F-3FC1215FA969}">
      <text>
        <r>
          <rPr>
            <sz val="8"/>
            <color indexed="81"/>
            <rFont val="Tahoma"/>
            <family val="2"/>
          </rPr>
          <t>Includes Blackstones Holdco Debt (Term Loan)</t>
        </r>
      </text>
    </comment>
    <comment ref="F41" authorId="0" shapeId="0" xr:uid="{4E630D03-3583-4CC1-894F-A2C95B08264A}">
      <text>
        <r>
          <rPr>
            <sz val="8"/>
            <color indexed="81"/>
            <rFont val="Tahoma"/>
            <family val="2"/>
          </rPr>
          <t>Includes Blackstones Holdco Debt (Term Loan)</t>
        </r>
      </text>
    </comment>
    <comment ref="G41" authorId="0" shapeId="0" xr:uid="{00000000-0006-0000-5500-000002000000}">
      <text>
        <r>
          <rPr>
            <sz val="8"/>
            <color indexed="81"/>
            <rFont val="Tahoma"/>
            <family val="2"/>
          </rPr>
          <t>Includes Blackstones Holdco Debt (Term Loan)</t>
        </r>
      </text>
    </comment>
    <comment ref="H41" authorId="0" shapeId="0" xr:uid="{00000000-0006-0000-5500-000003000000}">
      <text>
        <r>
          <rPr>
            <sz val="8"/>
            <color indexed="81"/>
            <rFont val="Tahoma"/>
            <family val="2"/>
          </rPr>
          <t>Includes Blackstones Holdco Debt (Term Loan)</t>
        </r>
      </text>
    </comment>
    <comment ref="I41" authorId="0" shapeId="0" xr:uid="{00000000-0006-0000-5500-000004000000}">
      <text>
        <r>
          <rPr>
            <sz val="8"/>
            <color indexed="81"/>
            <rFont val="Tahoma"/>
            <family val="2"/>
          </rPr>
          <t>Includes Blackstones Holdco Debt (Term Loan)</t>
        </r>
      </text>
    </comment>
  </commentList>
</comments>
</file>

<file path=xl/comments63.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B16" authorId="0" shapeId="0" xr:uid="{C8804839-5978-49E3-BB55-B52DCA072FA2}">
      <text>
        <r>
          <rPr>
            <sz val="9"/>
            <color indexed="81"/>
            <rFont val="Tahoma"/>
            <family val="2"/>
          </rPr>
          <t>Self-Calculated EBITDA = EBIT + D&amp;A</t>
        </r>
      </text>
    </comment>
    <comment ref="C16" authorId="0" shapeId="0" xr:uid="{C122FDD1-95A1-47AC-ADF5-5F524F39D7DB}">
      <text>
        <r>
          <rPr>
            <sz val="9"/>
            <color indexed="81"/>
            <rFont val="Tahoma"/>
            <family val="2"/>
          </rPr>
          <t>Self-Calculated EBITDA = EBIT + D&amp;A</t>
        </r>
      </text>
    </comment>
    <comment ref="D16" authorId="0" shapeId="0" xr:uid="{67D8D070-D3B6-49E4-95B2-6752C46FDC99}">
      <text>
        <r>
          <rPr>
            <sz val="9"/>
            <color indexed="81"/>
            <rFont val="Tahoma"/>
            <family val="2"/>
          </rPr>
          <t>Self-Calculated EBITDA = EBIT + D&amp;A</t>
        </r>
      </text>
    </comment>
    <comment ref="E16" authorId="0" shapeId="0" xr:uid="{1CF65B62-ACD9-472F-B89C-B731F0595ADB}">
      <text>
        <r>
          <rPr>
            <sz val="9"/>
            <color indexed="81"/>
            <rFont val="Tahoma"/>
            <family val="2"/>
          </rPr>
          <t>Self-Calculated EBITDA = EBIT + D&amp;A</t>
        </r>
      </text>
    </comment>
    <comment ref="F16" authorId="0" shapeId="0" xr:uid="{3FBB23FF-94A2-409F-B486-C48DABDFCF7E}">
      <text>
        <r>
          <rPr>
            <sz val="9"/>
            <color indexed="81"/>
            <rFont val="Tahoma"/>
            <family val="2"/>
          </rPr>
          <t>Self-Calculated EBITDA = EBIT + D&amp;A</t>
        </r>
      </text>
    </comment>
    <comment ref="G16" authorId="0" shapeId="0" xr:uid="{914A66E3-2797-4382-B830-C317A960DFF6}">
      <text>
        <r>
          <rPr>
            <sz val="9"/>
            <color indexed="81"/>
            <rFont val="Tahoma"/>
            <family val="2"/>
          </rPr>
          <t>Self-Calculated EBITDA = EBIT + D&amp;A</t>
        </r>
      </text>
    </comment>
    <comment ref="H16" authorId="0" shapeId="0" xr:uid="{92FDF8E8-975D-4F29-9EFA-4D57BD21A0F9}">
      <text>
        <r>
          <rPr>
            <sz val="9"/>
            <color indexed="81"/>
            <rFont val="Tahoma"/>
            <family val="2"/>
          </rPr>
          <t>Self-Calculated EBITDA = EBIT + D&amp;A</t>
        </r>
      </text>
    </comment>
    <comment ref="I16" authorId="0" shapeId="0" xr:uid="{943D0FF1-D571-4EF4-A5C9-58EB9DDC1803}">
      <text>
        <r>
          <rPr>
            <sz val="9"/>
            <color indexed="81"/>
            <rFont val="Tahoma"/>
            <family val="2"/>
          </rPr>
          <t>Self-Calculated EBITDA = EBIT + D&amp;A</t>
        </r>
      </text>
    </comment>
    <comment ref="J16" authorId="0" shapeId="0" xr:uid="{A2C1500C-9C5D-43F9-A7D0-FB4918AF387C}">
      <text>
        <r>
          <rPr>
            <sz val="9"/>
            <color indexed="81"/>
            <rFont val="Tahoma"/>
            <family val="2"/>
          </rPr>
          <t>Self-Calculated EBITDA = EBIT + D&amp;A</t>
        </r>
      </text>
    </comment>
    <comment ref="B24" authorId="0" shapeId="0" xr:uid="{6F2A7D50-ABED-498E-9E92-EC0F358989EE}">
      <text>
        <r>
          <rPr>
            <sz val="9"/>
            <color indexed="81"/>
            <rFont val="Tahoma"/>
            <family val="2"/>
          </rPr>
          <t>Self-Calculated EBITDA = EBIT + D&amp;A + Impairment</t>
        </r>
      </text>
    </comment>
    <comment ref="C24" authorId="0" shapeId="0" xr:uid="{B441E4DD-4D34-406E-9CB6-9CBAEB3F9C4A}">
      <text>
        <r>
          <rPr>
            <sz val="9"/>
            <color indexed="81"/>
            <rFont val="Tahoma"/>
            <family val="2"/>
          </rPr>
          <t>Self-Calculated EBITDA = EBIT + D&amp;A + Impairment</t>
        </r>
      </text>
    </comment>
    <comment ref="D24" authorId="0" shapeId="0" xr:uid="{355B98B7-3A72-4CC9-A142-72740EA4535E}">
      <text>
        <r>
          <rPr>
            <sz val="9"/>
            <color indexed="81"/>
            <rFont val="Tahoma"/>
            <family val="2"/>
          </rPr>
          <t>Self-Calculated EBITDA = EBIT + D&amp;A + Impairment</t>
        </r>
      </text>
    </comment>
    <comment ref="E24" authorId="0" shapeId="0" xr:uid="{09D1881F-C223-410F-8C7F-DBFF2E82BEFF}">
      <text>
        <r>
          <rPr>
            <sz val="9"/>
            <color indexed="81"/>
            <rFont val="Tahoma"/>
            <family val="2"/>
          </rPr>
          <t>Self-Calculated EBITDA = EBIT + D&amp;A + Impairment</t>
        </r>
      </text>
    </comment>
    <comment ref="F24" authorId="0" shapeId="0" xr:uid="{08968449-C44A-4750-B93C-778686C3609B}">
      <text>
        <r>
          <rPr>
            <sz val="9"/>
            <color indexed="81"/>
            <rFont val="Tahoma"/>
            <family val="2"/>
          </rPr>
          <t>Self-Calculated EBITDA = EBIT + D&amp;A + Impairment</t>
        </r>
      </text>
    </comment>
    <comment ref="G24" authorId="0" shapeId="0" xr:uid="{C84458B7-4410-447C-B0F5-993372D59B26}">
      <text>
        <r>
          <rPr>
            <sz val="9"/>
            <color indexed="81"/>
            <rFont val="Tahoma"/>
            <family val="2"/>
          </rPr>
          <t>Self-Calculated EBITDA = EBIT + D&amp;A + Impairment</t>
        </r>
      </text>
    </comment>
    <comment ref="H40" authorId="0" shapeId="0" xr:uid="{00000000-0006-0000-5600-000002000000}">
      <text>
        <r>
          <rPr>
            <sz val="9"/>
            <color indexed="81"/>
            <rFont val="Tahoma"/>
            <family val="2"/>
          </rPr>
          <t>Adjusted using CFS</t>
        </r>
      </text>
    </comment>
  </commentList>
</comments>
</file>

<file path=xl/comments64.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I14" authorId="0" shapeId="0" xr:uid="{00000000-0006-0000-5700-000001000000}">
      <text>
        <r>
          <rPr>
            <sz val="9"/>
            <color indexed="81"/>
            <rFont val="Tahoma"/>
            <family val="2"/>
          </rPr>
          <t>Source: Company Presentation</t>
        </r>
      </text>
    </comment>
    <comment ref="I24" authorId="0" shapeId="0" xr:uid="{00000000-0006-0000-5700-000003000000}">
      <text>
        <r>
          <rPr>
            <sz val="9"/>
            <color indexed="81"/>
            <rFont val="Tahoma"/>
            <family val="2"/>
          </rPr>
          <t>Adjusted for organic EBITDA adjustments from Presentation</t>
        </r>
      </text>
    </comment>
    <comment ref="B25" authorId="0" shapeId="0" xr:uid="{59782C7A-1580-4095-A27A-150E04CED6EA}">
      <text>
        <r>
          <rPr>
            <sz val="9"/>
            <color indexed="81"/>
            <rFont val="Tahoma"/>
            <family val="2"/>
          </rPr>
          <t>TTM Proforma Leverage of 1.1x as per presentation</t>
        </r>
      </text>
    </comment>
    <comment ref="C25" authorId="0" shapeId="0" xr:uid="{53B8CE24-5E83-409D-A370-C642C65373DD}">
      <text>
        <r>
          <rPr>
            <sz val="9"/>
            <color indexed="81"/>
            <rFont val="Tahoma"/>
            <family val="2"/>
          </rPr>
          <t>TTM Proforma Leverage of 1.1x as per presentation</t>
        </r>
      </text>
    </comment>
    <comment ref="D25" authorId="0" shapeId="0" xr:uid="{581F2F68-C093-428D-8D7A-91021DB55AAC}">
      <text>
        <r>
          <rPr>
            <sz val="9"/>
            <color indexed="81"/>
            <rFont val="Tahoma"/>
            <family val="2"/>
          </rPr>
          <t>TTM Proforma Leverage of 1.1x as per presentation</t>
        </r>
      </text>
    </comment>
    <comment ref="E25" authorId="0" shapeId="0" xr:uid="{16F2A09A-B5CC-432A-94DB-E25021458E55}">
      <text>
        <r>
          <rPr>
            <sz val="9"/>
            <color indexed="81"/>
            <rFont val="Tahoma"/>
            <family val="2"/>
          </rPr>
          <t>TTM Proforma Leverage of 1.5x as per presentation</t>
        </r>
      </text>
    </comment>
    <comment ref="F25" authorId="0" shapeId="0" xr:uid="{2F0EDB8A-23D4-4F7C-92C2-81EACEEE16DB}">
      <text>
        <r>
          <rPr>
            <sz val="9"/>
            <color indexed="81"/>
            <rFont val="Tahoma"/>
            <family val="2"/>
          </rPr>
          <t>TTM Proforma Leverage of 1.9x as per presentation</t>
        </r>
      </text>
    </comment>
    <comment ref="G25" authorId="0" shapeId="0" xr:uid="{984DF62E-6F5F-40EF-9649-F858EB9B00BA}">
      <text>
        <r>
          <rPr>
            <sz val="9"/>
            <color indexed="81"/>
            <rFont val="Tahoma"/>
            <family val="2"/>
          </rPr>
          <t>TTM Proforma Leverage of 2.5x as per presentation</t>
        </r>
      </text>
    </comment>
    <comment ref="H25" authorId="0" shapeId="0" xr:uid="{899400D4-1CD3-4B4C-BF10-54A3FCE65988}">
      <text>
        <r>
          <rPr>
            <sz val="9"/>
            <color indexed="81"/>
            <rFont val="Tahoma"/>
            <family val="2"/>
          </rPr>
          <t>TTM Proforma Leverage of 2.5x as per presentation</t>
        </r>
      </text>
    </comment>
    <comment ref="I25" authorId="0" shapeId="0" xr:uid="{00000000-0006-0000-5700-000004000000}">
      <text>
        <r>
          <rPr>
            <sz val="9"/>
            <color indexed="81"/>
            <rFont val="Tahoma"/>
            <family val="2"/>
          </rPr>
          <t>9 months synergy</t>
        </r>
      </text>
    </comment>
    <comment ref="J25" authorId="0" shapeId="0" xr:uid="{00000000-0006-0000-5700-000005000000}">
      <text>
        <r>
          <rPr>
            <sz val="9"/>
            <color indexed="81"/>
            <rFont val="Tahoma"/>
            <family val="2"/>
          </rPr>
          <t>Source: Lenders Presentation</t>
        </r>
      </text>
    </comment>
  </commentList>
</comments>
</file>

<file path=xl/comments65.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B14" authorId="0" shapeId="0" xr:uid="{51321AA2-30BA-493C-9146-50050C3CDF90}">
      <text>
        <r>
          <rPr>
            <sz val="9"/>
            <color indexed="81"/>
            <rFont val="Tahoma"/>
            <family val="2"/>
          </rPr>
          <t>Adjusted net revenues</t>
        </r>
      </text>
    </comment>
    <comment ref="H24" authorId="0" shapeId="0" xr:uid="{00000000-0006-0000-5800-000001000000}">
      <text>
        <r>
          <rPr>
            <sz val="9"/>
            <color indexed="81"/>
            <rFont val="Tahoma"/>
            <family val="2"/>
          </rPr>
          <t>Based on LTM EBITDA</t>
        </r>
      </text>
    </comment>
    <comment ref="I24" authorId="0" shapeId="0" xr:uid="{00000000-0006-0000-5800-000002000000}">
      <text>
        <r>
          <rPr>
            <sz val="9"/>
            <color indexed="81"/>
            <rFont val="Tahoma"/>
            <family val="2"/>
          </rPr>
          <t>Based on LTM EBITDA</t>
        </r>
      </text>
    </comment>
  </commentList>
</comments>
</file>

<file path=xl/comments66.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B39" authorId="0" shapeId="0" xr:uid="{F4A4B84F-BE0F-4D86-8BD5-2023B1330E21}">
      <text>
        <r>
          <rPr>
            <sz val="9"/>
            <color indexed="81"/>
            <rFont val="Tahoma"/>
            <family val="2"/>
          </rPr>
          <t>Assumed to be the same (Source: May 21 Presentation)</t>
        </r>
      </text>
    </comment>
    <comment ref="F39" authorId="0" shapeId="0" xr:uid="{B19FC147-28BC-4C61-881E-8534929540C9}">
      <text>
        <r>
          <rPr>
            <sz val="9"/>
            <color indexed="81"/>
            <rFont val="Tahoma"/>
            <family val="2"/>
          </rPr>
          <t>Assuming no changes to Revolver, update when information available</t>
        </r>
      </text>
    </comment>
    <comment ref="H39" authorId="0" shapeId="0" xr:uid="{00000000-0006-0000-5900-000001000000}">
      <text>
        <r>
          <rPr>
            <sz val="9"/>
            <color indexed="81"/>
            <rFont val="Tahoma"/>
            <family val="2"/>
          </rPr>
          <t>PF</t>
        </r>
      </text>
    </comment>
    <comment ref="B40" authorId="0" shapeId="0" xr:uid="{DEC23DC7-2B4E-467D-BD44-9D174546C4B4}">
      <text>
        <r>
          <rPr>
            <sz val="9"/>
            <color indexed="81"/>
            <rFont val="Tahoma"/>
            <family val="2"/>
          </rPr>
          <t>Assumed to be the same (Source: May 21 Presentation)</t>
        </r>
      </text>
    </comment>
    <comment ref="F40" authorId="0" shapeId="0" xr:uid="{EF36CBD0-61DD-46F5-93DB-62BC7D14465B}">
      <text>
        <r>
          <rPr>
            <sz val="9"/>
            <color indexed="81"/>
            <rFont val="Tahoma"/>
            <family val="2"/>
          </rPr>
          <t>Calculated using 1%pa amortization from LP</t>
        </r>
      </text>
    </comment>
    <comment ref="H40" authorId="0" shapeId="0" xr:uid="{00000000-0006-0000-5900-000002000000}">
      <text>
        <r>
          <rPr>
            <sz val="9"/>
            <color indexed="81"/>
            <rFont val="Tahoma"/>
            <family val="2"/>
          </rPr>
          <t>PF</t>
        </r>
      </text>
    </comment>
    <comment ref="B41" authorId="0" shapeId="0" xr:uid="{38CE1621-5DC4-4253-8581-A252006700A9}">
      <text>
        <r>
          <rPr>
            <sz val="9"/>
            <color indexed="81"/>
            <rFont val="Tahoma"/>
            <family val="2"/>
          </rPr>
          <t>Assumed to be the same (Source: May 21 Presentation)</t>
        </r>
      </text>
    </comment>
    <comment ref="H41" authorId="0" shapeId="0" xr:uid="{00000000-0006-0000-5900-000003000000}">
      <text>
        <r>
          <rPr>
            <sz val="9"/>
            <color indexed="81"/>
            <rFont val="Tahoma"/>
            <family val="2"/>
          </rPr>
          <t>PF</t>
        </r>
      </text>
    </comment>
    <comment ref="B42" authorId="0" shapeId="0" xr:uid="{E583C4DC-5E16-41D0-8A09-21BE6B3A0346}">
      <text>
        <r>
          <rPr>
            <sz val="9"/>
            <color indexed="81"/>
            <rFont val="Tahoma"/>
            <family val="2"/>
          </rPr>
          <t>Assumed to be the same (Source: May 21 Presentation)</t>
        </r>
      </text>
    </comment>
    <comment ref="H42" authorId="0" shapeId="0" xr:uid="{00000000-0006-0000-5900-000004000000}">
      <text>
        <r>
          <rPr>
            <sz val="9"/>
            <color indexed="81"/>
            <rFont val="Tahoma"/>
            <family val="2"/>
          </rPr>
          <t>PF</t>
        </r>
      </text>
    </comment>
    <comment ref="B44" authorId="0" shapeId="0" xr:uid="{46E78216-1739-41C3-AB04-2FB3CBD07522}">
      <text>
        <r>
          <rPr>
            <sz val="9"/>
            <color indexed="81"/>
            <rFont val="Tahoma"/>
            <family val="2"/>
          </rPr>
          <t>Assumed to be the same (Source: May 21 Presentation)</t>
        </r>
      </text>
    </comment>
    <comment ref="H44" authorId="0" shapeId="0" xr:uid="{00000000-0006-0000-5900-000005000000}">
      <text>
        <r>
          <rPr>
            <sz val="9"/>
            <color indexed="81"/>
            <rFont val="Tahoma"/>
            <family val="2"/>
          </rPr>
          <t>PF</t>
        </r>
      </text>
    </comment>
    <comment ref="H46" authorId="0" shapeId="0" xr:uid="{00000000-0006-0000-5900-000006000000}">
      <text>
        <r>
          <rPr>
            <sz val="9"/>
            <color indexed="81"/>
            <rFont val="Tahoma"/>
            <family val="2"/>
          </rPr>
          <t>PF</t>
        </r>
      </text>
    </comment>
    <comment ref="B47" authorId="0" shapeId="0" xr:uid="{1F9F4C32-11E8-42DF-91D5-C3A279E6B349}">
      <text>
        <r>
          <rPr>
            <sz val="9"/>
            <color indexed="81"/>
            <rFont val="Tahoma"/>
            <family val="2"/>
          </rPr>
          <t>PF</t>
        </r>
      </text>
    </comment>
    <comment ref="C47" authorId="0" shapeId="0" xr:uid="{DBA2520E-51A0-44BD-8AB2-210C23496713}">
      <text>
        <r>
          <rPr>
            <sz val="9"/>
            <color indexed="81"/>
            <rFont val="Tahoma"/>
            <family val="2"/>
          </rPr>
          <t>PF</t>
        </r>
      </text>
    </comment>
    <comment ref="D47" authorId="0" shapeId="0" xr:uid="{1D6244B2-9CB5-4978-A274-0D54F3169A30}">
      <text>
        <r>
          <rPr>
            <sz val="9"/>
            <color indexed="81"/>
            <rFont val="Tahoma"/>
            <family val="2"/>
          </rPr>
          <t>PF</t>
        </r>
      </text>
    </comment>
    <comment ref="E47" authorId="0" shapeId="0" xr:uid="{8B4712E2-2061-4111-A897-39F16510384D}">
      <text>
        <r>
          <rPr>
            <sz val="9"/>
            <color indexed="81"/>
            <rFont val="Tahoma"/>
            <family val="2"/>
          </rPr>
          <t>PF</t>
        </r>
      </text>
    </comment>
    <comment ref="F47" authorId="0" shapeId="0" xr:uid="{75944B77-AE87-44F9-BD9F-FF21C0B2FF3A}">
      <text>
        <r>
          <rPr>
            <sz val="9"/>
            <color indexed="81"/>
            <rFont val="Tahoma"/>
            <family val="2"/>
          </rPr>
          <t>PF</t>
        </r>
      </text>
    </comment>
    <comment ref="G47" authorId="0" shapeId="0" xr:uid="{1F4C5302-1262-4DC2-8F35-8E7762FE3C26}">
      <text>
        <r>
          <rPr>
            <sz val="9"/>
            <color indexed="81"/>
            <rFont val="Tahoma"/>
            <family val="2"/>
          </rPr>
          <t>PF</t>
        </r>
      </text>
    </comment>
    <comment ref="H47" authorId="0" shapeId="0" xr:uid="{00000000-0006-0000-5900-000007000000}">
      <text>
        <r>
          <rPr>
            <sz val="9"/>
            <color indexed="81"/>
            <rFont val="Tahoma"/>
            <family val="2"/>
          </rPr>
          <t>PF</t>
        </r>
      </text>
    </comment>
    <comment ref="H48" authorId="0" shapeId="0" xr:uid="{00000000-0006-0000-5900-000008000000}">
      <text>
        <r>
          <rPr>
            <sz val="9"/>
            <color indexed="81"/>
            <rFont val="Tahoma"/>
            <family val="2"/>
          </rPr>
          <t>PF</t>
        </r>
      </text>
    </comment>
  </commentList>
</comments>
</file>

<file path=xl/comments67.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B37" authorId="0" shapeId="0" xr:uid="{A54D4B45-D487-43E0-B47B-4AC5828537C8}">
      <text>
        <r>
          <rPr>
            <sz val="9"/>
            <color indexed="81"/>
            <rFont val="Tahoma"/>
            <family val="2"/>
          </rPr>
          <t>FCF from presentation</t>
        </r>
      </text>
    </comment>
    <comment ref="F37" authorId="0" shapeId="0" xr:uid="{AEABB043-9037-4A14-8018-8EDF9C6BE2B7}">
      <text>
        <r>
          <rPr>
            <sz val="9"/>
            <color indexed="81"/>
            <rFont val="Tahoma"/>
            <family val="2"/>
          </rPr>
          <t>FCF from presentation</t>
        </r>
      </text>
    </comment>
  </commentList>
</comments>
</file>

<file path=xl/comments68.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B16" authorId="0" shapeId="0" xr:uid="{0499DA25-F63B-44C9-A96E-B9A8CCA59059}">
      <text>
        <r>
          <rPr>
            <sz val="9"/>
            <color indexed="81"/>
            <rFont val="Tahoma"/>
            <family val="2"/>
          </rPr>
          <t>Preliminary Management EBITDA</t>
        </r>
      </text>
    </comment>
    <comment ref="F16" authorId="0" shapeId="0" xr:uid="{6656F287-1DBF-413C-BC1D-B6E2F5A0F292}">
      <text>
        <r>
          <rPr>
            <sz val="9"/>
            <color indexed="81"/>
            <rFont val="Tahoma"/>
            <family val="2"/>
          </rPr>
          <t>Preliminary Management EBITDA</t>
        </r>
      </text>
    </comment>
    <comment ref="B24" authorId="0" shapeId="0" xr:uid="{64F90DCA-88C1-43B0-9AD8-AF44908FEB26}">
      <text>
        <r>
          <rPr>
            <sz val="9"/>
            <color indexed="81"/>
            <rFont val="Tahoma"/>
            <family val="2"/>
          </rPr>
          <t>Calculated based on estimate</t>
        </r>
      </text>
    </comment>
    <comment ref="C25" authorId="0" shapeId="0" xr:uid="{559D1641-32ED-4C26-A130-F51D261EE1E4}">
      <text>
        <r>
          <rPr>
            <sz val="9"/>
            <color indexed="81"/>
            <rFont val="Tahoma"/>
            <family val="2"/>
          </rPr>
          <t>Calculated using net leverage</t>
        </r>
      </text>
    </comment>
    <comment ref="C37" authorId="0" shapeId="0" xr:uid="{F1ED9C87-3AD2-4B3B-A7B3-A8EB4A303172}">
      <text>
        <r>
          <rPr>
            <sz val="9"/>
            <color indexed="81"/>
            <rFont val="Tahoma"/>
            <family val="2"/>
          </rPr>
          <t>Source: Presentation</t>
        </r>
      </text>
    </comment>
    <comment ref="G37" authorId="0" shapeId="0" xr:uid="{E732F841-0523-4B4B-B514-36C562A3C12E}">
      <text>
        <r>
          <rPr>
            <sz val="9"/>
            <color indexed="81"/>
            <rFont val="Tahoma"/>
            <family val="2"/>
          </rPr>
          <t>Source: Presentation</t>
        </r>
      </text>
    </comment>
    <comment ref="B47" authorId="0" shapeId="0" xr:uid="{C6DA3F08-9E8F-4E4D-9B2F-7F37EA44C40E}">
      <text>
        <r>
          <rPr>
            <sz val="9"/>
            <color indexed="81"/>
            <rFont val="Tahoma"/>
            <family val="2"/>
          </rPr>
          <t>Calculated based on estimate</t>
        </r>
      </text>
    </comment>
    <comment ref="C48" authorId="0" shapeId="0" xr:uid="{CECA4DA2-C4F2-4C0B-909B-006B38FD73F5}">
      <text>
        <r>
          <rPr>
            <sz val="9"/>
            <color indexed="81"/>
            <rFont val="Tahoma"/>
            <family val="2"/>
          </rPr>
          <t>Source: Presentation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B16" authorId="0" shapeId="0" xr:uid="{3EACD4FF-23AD-46A4-B920-6E9C1CE4D963}">
      <text>
        <r>
          <rPr>
            <sz val="9"/>
            <color indexed="81"/>
            <rFont val="Tahoma"/>
            <family val="2"/>
          </rPr>
          <t>SYM</t>
        </r>
      </text>
    </comment>
    <comment ref="C16" authorId="0" shapeId="0" xr:uid="{48108EB0-AED6-419A-BB6B-9D6D8FEA863D}">
      <text>
        <r>
          <rPr>
            <sz val="9"/>
            <color indexed="81"/>
            <rFont val="Tahoma"/>
            <family val="2"/>
          </rPr>
          <t>SYM</t>
        </r>
      </text>
    </comment>
    <comment ref="D16" authorId="0" shapeId="0" xr:uid="{B8FBE461-6C5C-466F-B245-044F7F144902}">
      <text>
        <r>
          <rPr>
            <sz val="9"/>
            <color indexed="81"/>
            <rFont val="Tahoma"/>
            <family val="2"/>
          </rPr>
          <t>SYM</t>
        </r>
      </text>
    </comment>
    <comment ref="E16" authorId="0" shapeId="0" xr:uid="{A7F9A671-596B-42F4-AE3C-D035C862663D}">
      <text>
        <r>
          <rPr>
            <sz val="9"/>
            <color indexed="81"/>
            <rFont val="Tahoma"/>
            <family val="2"/>
          </rPr>
          <t>SYM</t>
        </r>
      </text>
    </comment>
    <comment ref="F16" authorId="0" shapeId="0" xr:uid="{D1BE269D-2BB6-4648-ABC7-6B3B5EB1A449}">
      <text>
        <r>
          <rPr>
            <sz val="9"/>
            <color indexed="81"/>
            <rFont val="Tahoma"/>
            <family val="2"/>
          </rPr>
          <t>SYM</t>
        </r>
      </text>
    </comment>
    <comment ref="G16" authorId="0" shapeId="0" xr:uid="{480F9805-E046-4E0D-9751-9FCE60E22B86}">
      <text>
        <r>
          <rPr>
            <sz val="9"/>
            <color indexed="81"/>
            <rFont val="Tahoma"/>
            <family val="2"/>
          </rPr>
          <t>SYM</t>
        </r>
      </text>
    </comment>
    <comment ref="H16" authorId="0" shapeId="0" xr:uid="{63199E1A-586D-4C74-8EFE-596B3CE287EE}">
      <text>
        <r>
          <rPr>
            <sz val="9"/>
            <color indexed="81"/>
            <rFont val="Tahoma"/>
            <family val="2"/>
          </rPr>
          <t>SYM</t>
        </r>
      </text>
    </comment>
    <comment ref="I16" authorId="0" shapeId="0" xr:uid="{963E428A-F772-41D8-931D-8681B00153A2}">
      <text>
        <r>
          <rPr>
            <sz val="9"/>
            <color indexed="81"/>
            <rFont val="Tahoma"/>
            <family val="2"/>
          </rPr>
          <t>SYM</t>
        </r>
      </text>
    </comment>
    <comment ref="J16" authorId="0" shapeId="0" xr:uid="{94B4B52E-42C9-4301-94CB-72F9E2FAF813}">
      <text>
        <r>
          <rPr>
            <sz val="9"/>
            <color indexed="81"/>
            <rFont val="Tahoma"/>
            <family val="2"/>
          </rPr>
          <t>SYM</t>
        </r>
      </text>
    </comment>
    <comment ref="K16" authorId="0" shapeId="0" xr:uid="{2F345045-D9B2-4BAE-B64C-3C7DE795F4C6}">
      <text>
        <r>
          <rPr>
            <sz val="9"/>
            <color indexed="81"/>
            <rFont val="Tahoma"/>
            <family val="2"/>
          </rPr>
          <t>SYM</t>
        </r>
      </text>
    </comment>
    <comment ref="B39" authorId="0" shapeId="0" xr:uid="{746AA524-8CE6-4589-8BF1-EC5AA09A8CFF}">
      <text>
        <r>
          <rPr>
            <sz val="9"/>
            <color indexed="81"/>
            <rFont val="Tahoma"/>
            <family val="2"/>
          </rPr>
          <t>PF</t>
        </r>
      </text>
    </comment>
    <comment ref="B40" authorId="0" shapeId="0" xr:uid="{8D5049DC-E548-41C4-926A-149E2AA6950B}">
      <text>
        <r>
          <rPr>
            <sz val="9"/>
            <color indexed="81"/>
            <rFont val="Tahoma"/>
            <family val="2"/>
          </rPr>
          <t>PF</t>
        </r>
      </text>
    </comment>
    <comment ref="B41" authorId="0" shapeId="0" xr:uid="{1B28A3E4-8D7E-434B-8A11-CB401E544E93}">
      <text>
        <r>
          <rPr>
            <sz val="9"/>
            <color indexed="81"/>
            <rFont val="Tahoma"/>
            <family val="2"/>
          </rPr>
          <t>PF</t>
        </r>
      </text>
    </comment>
    <comment ref="H41" authorId="0" shapeId="0" xr:uid="{00000000-0006-0000-0900-000001000000}">
      <text>
        <r>
          <rPr>
            <sz val="8"/>
            <color indexed="81"/>
            <rFont val="Tahoma"/>
            <family val="2"/>
          </rPr>
          <t>PF</t>
        </r>
      </text>
    </comment>
    <comment ref="B44" authorId="0" shapeId="0" xr:uid="{C9DECB0B-5DA0-4673-A0F9-5B9068D667B0}">
      <text>
        <r>
          <rPr>
            <sz val="9"/>
            <color indexed="81"/>
            <rFont val="Tahoma"/>
            <family val="2"/>
          </rPr>
          <t>PF</t>
        </r>
      </text>
    </comment>
    <comment ref="H44" authorId="0" shapeId="0" xr:uid="{00000000-0006-0000-0900-000002000000}">
      <text>
        <r>
          <rPr>
            <sz val="8"/>
            <color indexed="81"/>
            <rFont val="Tahoma"/>
            <family val="2"/>
          </rPr>
          <t>PF</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Deepak Rawat</author>
    <author>Parikshit Marathe</author>
  </authors>
  <commentList>
    <comment ref="L39" authorId="0" shapeId="0" xr:uid="{00000000-0006-0000-0A00-000001000000}">
      <text>
        <r>
          <rPr>
            <sz val="8"/>
            <color indexed="81"/>
            <rFont val="Tahoma"/>
            <family val="2"/>
          </rPr>
          <t>Pro Forma</t>
        </r>
      </text>
    </comment>
    <comment ref="Q39" authorId="1" shapeId="0" xr:uid="{00000000-0006-0000-0A00-000002000000}">
      <text>
        <r>
          <rPr>
            <sz val="8"/>
            <color indexed="81"/>
            <rFont val="Tahoma"/>
            <family val="2"/>
          </rPr>
          <t xml:space="preserve">Debt break-up as on 5/31/2017
Source: Lender Presentation </t>
        </r>
      </text>
    </comment>
    <comment ref="L40" authorId="0" shapeId="0" xr:uid="{00000000-0006-0000-0A00-000003000000}">
      <text>
        <r>
          <rPr>
            <sz val="8"/>
            <color indexed="81"/>
            <rFont val="Tahoma"/>
            <family val="2"/>
          </rPr>
          <t>Pro Forma</t>
        </r>
      </text>
    </comment>
    <comment ref="L41" authorId="0" shapeId="0" xr:uid="{00000000-0006-0000-0A00-000004000000}">
      <text>
        <r>
          <rPr>
            <sz val="8"/>
            <color indexed="81"/>
            <rFont val="Tahoma"/>
            <family val="2"/>
          </rPr>
          <t>Pro Forma</t>
        </r>
      </text>
    </comment>
    <comment ref="L42" authorId="0" shapeId="0" xr:uid="{00000000-0006-0000-0A00-000005000000}">
      <text>
        <r>
          <rPr>
            <sz val="8"/>
            <color indexed="81"/>
            <rFont val="Tahoma"/>
            <family val="2"/>
          </rPr>
          <t>Pro Forma</t>
        </r>
      </text>
    </comment>
    <comment ref="L44" authorId="0" shapeId="0" xr:uid="{00000000-0006-0000-0A00-000006000000}">
      <text>
        <r>
          <rPr>
            <sz val="8"/>
            <color indexed="81"/>
            <rFont val="Tahoma"/>
            <family val="2"/>
          </rPr>
          <t>Pro Forma</t>
        </r>
      </text>
    </comment>
    <comment ref="L46" authorId="0" shapeId="0" xr:uid="{00000000-0006-0000-0A00-000007000000}">
      <text>
        <r>
          <rPr>
            <sz val="8"/>
            <color indexed="81"/>
            <rFont val="Tahoma"/>
            <family val="2"/>
          </rPr>
          <t>Pro Forma</t>
        </r>
      </text>
    </comment>
    <comment ref="L47" authorId="0" shapeId="0" xr:uid="{00000000-0006-0000-0A00-000008000000}">
      <text>
        <r>
          <rPr>
            <sz val="8"/>
            <color indexed="81"/>
            <rFont val="Tahoma"/>
            <family val="2"/>
          </rPr>
          <t>Pro Forma</t>
        </r>
      </text>
    </comment>
    <comment ref="L48" authorId="0" shapeId="0" xr:uid="{00000000-0006-0000-0A00-000009000000}">
      <text>
        <r>
          <rPr>
            <sz val="8"/>
            <color indexed="81"/>
            <rFont val="Tahoma"/>
            <family val="2"/>
          </rPr>
          <t>Pro Forma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C26" authorId="0" shapeId="0" xr:uid="{47116261-1A0F-4D3C-9D55-A7A449F73462}">
      <text>
        <r>
          <rPr>
            <sz val="9"/>
            <color indexed="81"/>
            <rFont val="Tahoma"/>
            <family val="2"/>
          </rPr>
          <t>Revised no's from 4Q20 Presentation</t>
        </r>
      </text>
    </comment>
    <comment ref="D26" authorId="0" shapeId="0" xr:uid="{DB9267DA-B556-4AB2-8348-DAB248C915ED}">
      <text>
        <r>
          <rPr>
            <sz val="9"/>
            <color indexed="81"/>
            <rFont val="Tahoma"/>
            <family val="2"/>
          </rPr>
          <t>Revised no's from 3Q20 Presentation</t>
        </r>
      </text>
    </comment>
    <comment ref="E26" authorId="0" shapeId="0" xr:uid="{B864E772-DE60-45C8-9B4E-91672476924F}">
      <text>
        <r>
          <rPr>
            <sz val="9"/>
            <color indexed="81"/>
            <rFont val="Tahoma"/>
            <family val="2"/>
          </rPr>
          <t>Revised no's from 2Q20 Presentation</t>
        </r>
      </text>
    </comment>
    <comment ref="F26" authorId="0" shapeId="0" xr:uid="{C86458DA-816B-48FF-A4EB-0EF25AE96917}">
      <text>
        <r>
          <rPr>
            <sz val="9"/>
            <color indexed="81"/>
            <rFont val="Tahoma"/>
            <family val="2"/>
          </rPr>
          <t>Revised no's from 2Q20 Presentation</t>
        </r>
      </text>
    </comment>
    <comment ref="G26" authorId="0" shapeId="0" xr:uid="{AF94174E-E4AF-4A3F-9806-99FA41570F13}">
      <text>
        <r>
          <rPr>
            <sz val="9"/>
            <color indexed="81"/>
            <rFont val="Tahoma"/>
            <family val="2"/>
          </rPr>
          <t>Revised no's from 2Q20 Presentation</t>
        </r>
      </text>
    </comment>
    <comment ref="H26" authorId="0" shapeId="0" xr:uid="{1ADAE935-B02A-454B-9B71-1CD20AEA0C96}">
      <text>
        <r>
          <rPr>
            <sz val="9"/>
            <color indexed="81"/>
            <rFont val="Tahoma"/>
            <family val="2"/>
          </rPr>
          <t>Revised no's from 2Q20 Presentation</t>
        </r>
      </text>
    </comment>
    <comment ref="I39" authorId="0" shapeId="0" xr:uid="{00000000-0006-0000-0B00-000001000000}">
      <text>
        <r>
          <rPr>
            <sz val="8"/>
            <color indexed="81"/>
            <rFont val="Tahoma"/>
            <family val="2"/>
          </rPr>
          <t>Source: 2Q19 Lenders Presentation</t>
        </r>
      </text>
    </comment>
    <comment ref="J39" authorId="0" shapeId="0" xr:uid="{00000000-0006-0000-0B00-000002000000}">
      <text>
        <r>
          <rPr>
            <sz val="8"/>
            <color indexed="81"/>
            <rFont val="Tahoma"/>
            <family val="2"/>
          </rPr>
          <t>PF</t>
        </r>
      </text>
    </comment>
    <comment ref="I40" authorId="0" shapeId="0" xr:uid="{00000000-0006-0000-0B00-000003000000}">
      <text>
        <r>
          <rPr>
            <sz val="8"/>
            <color indexed="81"/>
            <rFont val="Tahoma"/>
            <family val="2"/>
          </rPr>
          <t>Source: 2Q19 Lenders Presentation</t>
        </r>
      </text>
    </comment>
    <comment ref="J40" authorId="0" shapeId="0" xr:uid="{00000000-0006-0000-0B00-000004000000}">
      <text>
        <r>
          <rPr>
            <sz val="8"/>
            <color indexed="81"/>
            <rFont val="Tahoma"/>
            <family val="2"/>
          </rPr>
          <t>PF</t>
        </r>
      </text>
    </comment>
    <comment ref="I41" authorId="0" shapeId="0" xr:uid="{00000000-0006-0000-0B00-000005000000}">
      <text>
        <r>
          <rPr>
            <sz val="8"/>
            <color indexed="81"/>
            <rFont val="Tahoma"/>
            <family val="2"/>
          </rPr>
          <t>Source: 2Q19 Lenders Presentation</t>
        </r>
      </text>
    </comment>
    <comment ref="J41" authorId="0" shapeId="0" xr:uid="{00000000-0006-0000-0B00-000006000000}">
      <text>
        <r>
          <rPr>
            <sz val="8"/>
            <color indexed="81"/>
            <rFont val="Tahoma"/>
            <family val="2"/>
          </rPr>
          <t>PF</t>
        </r>
      </text>
    </comment>
    <comment ref="I42" authorId="0" shapeId="0" xr:uid="{00000000-0006-0000-0B00-000007000000}">
      <text>
        <r>
          <rPr>
            <sz val="8"/>
            <color indexed="81"/>
            <rFont val="Tahoma"/>
            <family val="2"/>
          </rPr>
          <t>Source: 2Q19 Lenders Presentation</t>
        </r>
      </text>
    </comment>
    <comment ref="J42" authorId="0" shapeId="0" xr:uid="{00000000-0006-0000-0B00-000008000000}">
      <text>
        <r>
          <rPr>
            <sz val="8"/>
            <color indexed="81"/>
            <rFont val="Tahoma"/>
            <family val="2"/>
          </rPr>
          <t>PF</t>
        </r>
      </text>
    </comment>
    <comment ref="I44" authorId="0" shapeId="0" xr:uid="{00000000-0006-0000-0B00-000009000000}">
      <text>
        <r>
          <rPr>
            <sz val="8"/>
            <color indexed="81"/>
            <rFont val="Tahoma"/>
            <family val="2"/>
          </rPr>
          <t>Source: 2Q19 Lenders Presentation</t>
        </r>
      </text>
    </comment>
    <comment ref="J44" authorId="0" shapeId="0" xr:uid="{00000000-0006-0000-0B00-00000A000000}">
      <text>
        <r>
          <rPr>
            <sz val="8"/>
            <color indexed="81"/>
            <rFont val="Tahoma"/>
            <family val="2"/>
          </rPr>
          <t>PF</t>
        </r>
      </text>
    </comment>
    <comment ref="G46" authorId="0" shapeId="0" xr:uid="{85530909-9EF0-4B83-AC71-BA67D6D90755}">
      <text>
        <r>
          <rPr>
            <sz val="8"/>
            <color indexed="81"/>
            <rFont val="Tahoma"/>
            <family val="2"/>
          </rPr>
          <t>Source: 4Q19 Lenders Presentation</t>
        </r>
      </text>
    </comment>
    <comment ref="H46" authorId="0" shapeId="0" xr:uid="{00000000-0006-0000-0B00-00000B000000}">
      <text>
        <r>
          <rPr>
            <sz val="8"/>
            <color indexed="81"/>
            <rFont val="Tahoma"/>
            <family val="2"/>
          </rPr>
          <t>Source: 3Q19 Lenders Presentation</t>
        </r>
      </text>
    </comment>
    <comment ref="I46" authorId="0" shapeId="0" xr:uid="{00000000-0006-0000-0B00-00000C000000}">
      <text>
        <r>
          <rPr>
            <sz val="8"/>
            <color indexed="81"/>
            <rFont val="Tahoma"/>
            <family val="2"/>
          </rPr>
          <t>Source: 2Q19 Lenders Presentation</t>
        </r>
      </text>
    </comment>
    <comment ref="J46" authorId="0" shapeId="0" xr:uid="{00000000-0006-0000-0B00-00000D000000}">
      <text>
        <r>
          <rPr>
            <sz val="8"/>
            <color indexed="81"/>
            <rFont val="Tahoma"/>
            <family val="2"/>
          </rPr>
          <t>Source: 2Q19 Lenders Presentation</t>
        </r>
      </text>
    </comment>
    <comment ref="B47" authorId="0" shapeId="0" xr:uid="{D9EBD0BD-15E0-4154-9E37-DFC046B1042E}">
      <text>
        <r>
          <rPr>
            <sz val="8"/>
            <color indexed="81"/>
            <rFont val="Tahoma"/>
            <family val="2"/>
          </rPr>
          <t>PF</t>
        </r>
      </text>
    </comment>
    <comment ref="C47" authorId="0" shapeId="0" xr:uid="{0FDC50C6-3F42-4B58-8B2A-CDFF70339806}">
      <text>
        <r>
          <rPr>
            <sz val="8"/>
            <color indexed="81"/>
            <rFont val="Tahoma"/>
            <family val="2"/>
          </rPr>
          <t>PF</t>
        </r>
      </text>
    </comment>
    <comment ref="D47" authorId="0" shapeId="0" xr:uid="{2BDC797B-89CF-4F16-B4EB-F327F5B1D51E}">
      <text>
        <r>
          <rPr>
            <sz val="8"/>
            <color indexed="81"/>
            <rFont val="Tahoma"/>
            <family val="2"/>
          </rPr>
          <t>PF</t>
        </r>
      </text>
    </comment>
    <comment ref="E47" authorId="0" shapeId="0" xr:uid="{AF93C766-EAF2-4DC2-91CB-131FAC72D0A3}">
      <text>
        <r>
          <rPr>
            <sz val="8"/>
            <color indexed="81"/>
            <rFont val="Tahoma"/>
            <family val="2"/>
          </rPr>
          <t>PF</t>
        </r>
      </text>
    </comment>
    <comment ref="F47" authorId="0" shapeId="0" xr:uid="{E1338675-74BC-4954-A37B-F6D71BA5E4FD}">
      <text>
        <r>
          <rPr>
            <sz val="8"/>
            <color indexed="81"/>
            <rFont val="Tahoma"/>
            <family val="2"/>
          </rPr>
          <t>PF</t>
        </r>
      </text>
    </comment>
    <comment ref="G47" authorId="0" shapeId="0" xr:uid="{434948E5-D749-43FD-B30B-85E9DFFDB44A}">
      <text>
        <r>
          <rPr>
            <sz val="8"/>
            <color indexed="81"/>
            <rFont val="Tahoma"/>
            <family val="2"/>
          </rPr>
          <t>PF</t>
        </r>
      </text>
    </comment>
    <comment ref="H47" authorId="0" shapeId="0" xr:uid="{00000000-0006-0000-0B00-00000E000000}">
      <text>
        <r>
          <rPr>
            <sz val="8"/>
            <color indexed="81"/>
            <rFont val="Tahoma"/>
            <family val="2"/>
          </rPr>
          <t>PF</t>
        </r>
      </text>
    </comment>
    <comment ref="I47" authorId="0" shapeId="0" xr:uid="{00000000-0006-0000-0B00-00000F000000}">
      <text>
        <r>
          <rPr>
            <sz val="8"/>
            <color indexed="81"/>
            <rFont val="Tahoma"/>
            <family val="2"/>
          </rPr>
          <t>PF</t>
        </r>
      </text>
    </comment>
    <comment ref="J47" authorId="0" shapeId="0" xr:uid="{00000000-0006-0000-0B00-000010000000}">
      <text>
        <r>
          <rPr>
            <sz val="8"/>
            <color indexed="81"/>
            <rFont val="Tahoma"/>
            <family val="2"/>
          </rPr>
          <t>PF</t>
        </r>
      </text>
    </comment>
  </commentList>
</comments>
</file>

<file path=xl/sharedStrings.xml><?xml version="1.0" encoding="utf-8"?>
<sst xmlns="http://schemas.openxmlformats.org/spreadsheetml/2006/main" count="8006" uniqueCount="699">
  <si>
    <t>LTM Date</t>
  </si>
  <si>
    <t>Issuer</t>
  </si>
  <si>
    <t>CLO Analyst</t>
  </si>
  <si>
    <t>-</t>
  </si>
  <si>
    <t>Eric Im</t>
  </si>
  <si>
    <t>ABRA/Wand Intermediate</t>
  </si>
  <si>
    <t>Accudyne Industries</t>
  </si>
  <si>
    <t>Aclara Technologies</t>
  </si>
  <si>
    <t>Allison Transmission</t>
  </si>
  <si>
    <t>American Axle</t>
  </si>
  <si>
    <t>Astoria Energy</t>
  </si>
  <si>
    <t>Atotech</t>
  </si>
  <si>
    <t>Avolon</t>
  </si>
  <si>
    <t>Birch Communications</t>
  </si>
  <si>
    <t>Brand Energy</t>
  </si>
  <si>
    <t>Calpine Corp</t>
  </si>
  <si>
    <t>Casella Waste</t>
  </si>
  <si>
    <t>Dayton Power &amp; Light</t>
  </si>
  <si>
    <t>Dealer Tire</t>
  </si>
  <si>
    <t>Dixie Electric</t>
  </si>
  <si>
    <t>Doncasters</t>
  </si>
  <si>
    <t>Evoqua</t>
  </si>
  <si>
    <t>Federal-Mogul Corporation</t>
  </si>
  <si>
    <t>Gulf Finance</t>
  </si>
  <si>
    <t>HD Supply Waterworks</t>
  </si>
  <si>
    <t>Huntsman International LLC</t>
  </si>
  <si>
    <t>Jeld-Wen</t>
  </si>
  <si>
    <t>K&amp;N Engineering</t>
  </si>
  <si>
    <t>KCA Deutag US Finance</t>
  </si>
  <si>
    <t>Lightstone Generation</t>
  </si>
  <si>
    <t>Linden Cogeneration</t>
  </si>
  <si>
    <t>Pike Corporation</t>
  </si>
  <si>
    <t>Power Buyer</t>
  </si>
  <si>
    <t>Quality Distribution</t>
  </si>
  <si>
    <t>Royal Adhesives &amp; Sealants</t>
  </si>
  <si>
    <t>Southeast PowerGen</t>
  </si>
  <si>
    <t>Talen Energy</t>
  </si>
  <si>
    <t>Tekni-Plex</t>
  </si>
  <si>
    <t>TRC Companies</t>
  </si>
  <si>
    <t>Vencore</t>
  </si>
  <si>
    <t>Vistra Energy</t>
  </si>
  <si>
    <t>Wheelabrator/Granite</t>
  </si>
  <si>
    <t>WireCo WorldGroup</t>
  </si>
  <si>
    <t>XPO Logistics</t>
  </si>
  <si>
    <t>Issuer Name</t>
  </si>
  <si>
    <t>Business Description</t>
  </si>
  <si>
    <t>HF Analyst</t>
  </si>
  <si>
    <t>Credit Score</t>
  </si>
  <si>
    <t>Agent Bank</t>
  </si>
  <si>
    <t>Quarter Ended</t>
  </si>
  <si>
    <t>Revenues</t>
  </si>
  <si>
    <t xml:space="preserve">  YoY Growth</t>
  </si>
  <si>
    <t xml:space="preserve">  Organic Growth</t>
  </si>
  <si>
    <t>Cash EBITDA</t>
  </si>
  <si>
    <t xml:space="preserve">  Margin</t>
  </si>
  <si>
    <t>Transaction Expenses</t>
  </si>
  <si>
    <t>Restructuring &amp; Integration</t>
  </si>
  <si>
    <t>Other</t>
  </si>
  <si>
    <t>PF EBITDA</t>
  </si>
  <si>
    <t>LTM PF EBITDA</t>
  </si>
  <si>
    <t>PF Cost Saves</t>
  </si>
  <si>
    <t>PF Acquisition Adjustment</t>
  </si>
  <si>
    <t>Covenant EBITDA</t>
  </si>
  <si>
    <t>Interest</t>
  </si>
  <si>
    <t>Cash Taxes</t>
  </si>
  <si>
    <t>Working Capital</t>
  </si>
  <si>
    <t>Restructuring/One-Time</t>
  </si>
  <si>
    <t>OCF</t>
  </si>
  <si>
    <t>Capital Expenditures</t>
  </si>
  <si>
    <t>FCF</t>
  </si>
  <si>
    <t>ABL/RCF</t>
  </si>
  <si>
    <t>First Lien Debt</t>
  </si>
  <si>
    <t>Total Debt</t>
  </si>
  <si>
    <t>Equity Market Cap</t>
  </si>
  <si>
    <t>Cash</t>
  </si>
  <si>
    <t xml:space="preserve">LTM Revenues </t>
  </si>
  <si>
    <t>LTM EBITDA</t>
  </si>
  <si>
    <t>LTM FCF</t>
  </si>
  <si>
    <t>Senior Leverage</t>
  </si>
  <si>
    <t>Total Leverage</t>
  </si>
  <si>
    <t>Net Total Leverage</t>
  </si>
  <si>
    <t>FCF / Debt</t>
  </si>
  <si>
    <t>Estimated Enterprise Value</t>
  </si>
  <si>
    <t>Enterprise Value</t>
  </si>
  <si>
    <t>Comments</t>
  </si>
  <si>
    <t>Leading asset-light provider of transportation and logistics</t>
  </si>
  <si>
    <t>Done</t>
  </si>
  <si>
    <t>Global manufacturer of steel and synthetic rope, specialty wire and engineered products</t>
  </si>
  <si>
    <t>Wheelabrator</t>
  </si>
  <si>
    <t>2nd largest Waste-To-Energy facility operator in the US w/ 15 facilities &amp; processing capacity of more than 20kt/day</t>
  </si>
  <si>
    <t>Source: York Model</t>
  </si>
  <si>
    <t>Largest electricity generator and retail electric provider ("REP") in Texas.</t>
  </si>
  <si>
    <t>Defense service contractor for US government agencies (Intelligence Community, DoD, NASA, and federal civilian agencies)</t>
  </si>
  <si>
    <t>Leading provider of portable sanitation and related site services in North America.</t>
  </si>
  <si>
    <t>PF</t>
  </si>
  <si>
    <t>North American provider of integrated engineering, consulting and construction management services.</t>
  </si>
  <si>
    <t>PF Capital structure post LBO transaction
Source: York Model</t>
  </si>
  <si>
    <t>Service King</t>
  </si>
  <si>
    <t>Owner and operator of with 177 collision repair centers in the US across 20 states</t>
  </si>
  <si>
    <t>Leading provider of specialty inorganic performance chemicals, specialty catalyst and specialty glass materials</t>
  </si>
  <si>
    <t>One of the largest providers of energy infrastructure solutions to utilities in the US</t>
  </si>
  <si>
    <t>Cogeneration power complex located in Linden, NJ. It is ~2 miles from NYC and operates in NYISO Zone J region</t>
  </si>
  <si>
    <t>The portfolio consists of 4 power generation facilities with 5,277 MW of generation capacity in Ohio and Indiana and operates within the PJM Interconnection Market</t>
  </si>
  <si>
    <t>KCA Deutag</t>
  </si>
  <si>
    <t>International onshore and offshore drilling and engineering company</t>
  </si>
  <si>
    <t>Designer and manufacturer of high performance automotive and powersports aftermarket products</t>
  </si>
  <si>
    <t>Manufactures residential doors and windows</t>
  </si>
  <si>
    <t>9M-9/30/2015</t>
  </si>
  <si>
    <t>Diversified chemical manu with significant positions in polyurethanes and TiO2, increasing focus on specialty chemicals</t>
  </si>
  <si>
    <t>Largest distributor of water, sewage, drainage, storm water and fire protection products in the US</t>
  </si>
  <si>
    <t>Harsco is an engineered products and services company and operates 3 businesses: Metals and Mining ("M&amp;M"), Industrial &amp; Rail.</t>
  </si>
  <si>
    <t>Diversified refined products terminaling, storage and logistics business</t>
  </si>
  <si>
    <t>NA</t>
  </si>
  <si>
    <t>PF LTM nos. Source: York Model</t>
  </si>
  <si>
    <t>North American diversified environmental services company and provides solid waste, soil remediation and liquid waste services that spans from Canada's west to east coast</t>
  </si>
  <si>
    <t>CAD</t>
  </si>
  <si>
    <t>Global supplier of vehicle and industrial products for fuel economy, emissions reduction and safety systems</t>
  </si>
  <si>
    <t>Leading providers of vehicle damage repair services in the US</t>
  </si>
  <si>
    <t>Supplier of smart infrastructure to electric, gas and water utilities (Supplies Meters, etc)</t>
  </si>
  <si>
    <t>Largest manufacturer of fully-automatic transmissions for medium- and heavy-duty commercial vehicles</t>
  </si>
  <si>
    <t>Tier 1 supplier and manufacture, engineer, and design driveline and drivetrain systems and related components and chassis modules for all passenger and commercial vehicles</t>
  </si>
  <si>
    <t>Largest North America based replacement tire distributor</t>
  </si>
  <si>
    <t>Natural-gas fired power plant located in the NYISO's NYC Zone J market</t>
  </si>
  <si>
    <t>Manufacturer of specialty chemicals and equipment for high technology electroplating applications</t>
  </si>
  <si>
    <t>C2 is a global aircraft leasing company (CIT Group's commercial aircraft leasing business) and is headquartered in NY; Avolon is a global aircraft leasing company focused on acquiring, managing, leasing and selling commercial aircraft.</t>
  </si>
  <si>
    <t>CLEC telecommunications provider serving voice, data, and cloud services</t>
  </si>
  <si>
    <t>The largest wholesale power company in the US measured by power produced</t>
  </si>
  <si>
    <t>Casella waste is a regional, vertically-integrated solid waste services company serving residential, commercial, municipal and industrial customers</t>
  </si>
  <si>
    <t>Supplier of process equipment and aftermarket parts for the oilseed, animal feed, bioenergy and human food processing industries.</t>
  </si>
  <si>
    <t>Leader in the design, manufacture and marketing of highly-engineered, mission critical equipment used in lifting, rigging and material handling</t>
  </si>
  <si>
    <t>Fully regulated transmission and distribution business and serves over 517k customers in 24 counties West Central Ohio.</t>
  </si>
  <si>
    <t>Distributor of replacement tires and aftermarket automotive parts in the United States</t>
  </si>
  <si>
    <t>Market leading provider of electrical infrastructure and automation services throughout the life of an oilfield</t>
  </si>
  <si>
    <t>Manufactures precision metal components and assemblies for a variety of capital industries</t>
  </si>
  <si>
    <t>Evoqua designs, builds and provides life-cycle support for mission critical water treatment solutions for the process, drinking and waste water needs of industrial and municipal customers</t>
  </si>
  <si>
    <t>Special purpose entity formed to acquire and operate power generation facilities in the United States</t>
  </si>
  <si>
    <t>Packaging company who breaks their sales into 3 segments: Healthcare, Specialty Packaging, Food &amp; Beverage</t>
  </si>
  <si>
    <t>Talen is a merchant IPP of wholesale power and capacity in the Northeast (PA, MD, NY, NJ &amp; MA), Texas and West (MT &amp; AZ).</t>
  </si>
  <si>
    <t>Portfolio of nat gas plants in Georgia</t>
  </si>
  <si>
    <t>Leading provider of logistics services to the chemical market in North American and serves nearly all of the top 100 chemical providers in the US</t>
  </si>
  <si>
    <t>Provides services to electric and gas utilities (distribution &amp; pipeline construction)</t>
  </si>
  <si>
    <t>Jefferies</t>
  </si>
  <si>
    <t>Leading industrial distributor of MRO products, equipment and services to O&amp;G, food &amp; beverage, chemical, transportation, and other general industrial industries.</t>
  </si>
  <si>
    <t>Leader in the water treatment solutions, providing end-to-end water solutions to a wide range of customers from small households to commercial and industrial operations</t>
  </si>
  <si>
    <t>Leading provider of specialized services to the global industrial, commercial and infrastructure end markets, with a footprint across 30 countries</t>
  </si>
  <si>
    <t>PF LTM ending 3/31/2017
Source: York Model</t>
  </si>
  <si>
    <t>After the Sullair divestiture, Accudyne is now a pure play flow control company.</t>
  </si>
  <si>
    <t>PF LTM numbers Post Divest (as of 3/31/2017)
Source: York Model</t>
  </si>
  <si>
    <t>Global designer, manufacturer and marketer of hoists, acutators, cranes, rigging tools, digital power control systems, and other  material handling products serving a wide variety of commercial and industrial end-user markets</t>
  </si>
  <si>
    <t>Adjsted PF numbers 
Source: York Model</t>
  </si>
  <si>
    <t>Debt break-up as on 5/31/2017 (Lender Presentation)</t>
  </si>
  <si>
    <t>Accudyne</t>
  </si>
  <si>
    <t>Dixie</t>
  </si>
  <si>
    <t>Federal Mogul</t>
  </si>
  <si>
    <t>Huntsman</t>
  </si>
  <si>
    <t>PQ Corporation</t>
  </si>
  <si>
    <t>Waste Industries</t>
  </si>
  <si>
    <t>Vertically integrated waste management company that provides solid non-hazardous waste collection, transfer, disposal and recycling services to commercial, industrial and residential customers in North Carolina, South Carolina, Virginia, Tennessee, Georgia, Maryland and Delaware</t>
  </si>
  <si>
    <t>PSC Hydrochem</t>
  </si>
  <si>
    <t>National provider of industrial cleaning and specialty maintenance services to utility, refining, power, petrochemical, O&amp;G and industrial firms</t>
  </si>
  <si>
    <t>PF LTM Nos
Source: York Model</t>
  </si>
  <si>
    <t>PF Cap structure</t>
  </si>
  <si>
    <t>B2</t>
  </si>
  <si>
    <t>Tab Name</t>
  </si>
  <si>
    <t>Issuer Name (Cell B2)</t>
  </si>
  <si>
    <t>Wand Intermediate</t>
  </si>
  <si>
    <t>No Exposure</t>
  </si>
  <si>
    <t>LTM PF #s as of 5/31/2017
Source: York Model</t>
  </si>
  <si>
    <t>Data Site</t>
  </si>
  <si>
    <t>B6</t>
  </si>
  <si>
    <t>B7</t>
  </si>
  <si>
    <t>S&amp;P Industry</t>
  </si>
  <si>
    <t>Moody Industry</t>
  </si>
  <si>
    <t>Machinery</t>
  </si>
  <si>
    <t>Capital Equipment</t>
  </si>
  <si>
    <t>Utilities: Oil &amp; Gas</t>
  </si>
  <si>
    <t>Transportation: Cargo</t>
  </si>
  <si>
    <t>Commercial Services and Supplies</t>
  </si>
  <si>
    <t>Chemicals</t>
  </si>
  <si>
    <t>Automobiles</t>
  </si>
  <si>
    <t>Environmental Industries</t>
  </si>
  <si>
    <t>Chemicals, Plastics, &amp; Rubber</t>
  </si>
  <si>
    <t>Professional Services</t>
  </si>
  <si>
    <t>Utilities: Electric</t>
  </si>
  <si>
    <t>Construction and Engineering</t>
  </si>
  <si>
    <t>Aerospace and Defense</t>
  </si>
  <si>
    <t>Independent Power and Renewable Electricity Producers</t>
  </si>
  <si>
    <t>Construction &amp; Building</t>
  </si>
  <si>
    <t>Aerospace &amp; Defense</t>
  </si>
  <si>
    <t>Automotive</t>
  </si>
  <si>
    <t xml:space="preserve">Air Freight and Logistics </t>
  </si>
  <si>
    <t>Energy Equipment and Services</t>
  </si>
  <si>
    <t>Auto Components</t>
  </si>
  <si>
    <t>Oil, Gas and Consumable Fuels</t>
  </si>
  <si>
    <t>Energy: Oil &amp; Gas</t>
  </si>
  <si>
    <t>***MISSING***</t>
  </si>
  <si>
    <t>Gas Utilities</t>
  </si>
  <si>
    <t>PF Debt</t>
  </si>
  <si>
    <t>HSC</t>
  </si>
  <si>
    <t>B4</t>
  </si>
  <si>
    <t>Exgen Renewables</t>
  </si>
  <si>
    <t>Electric Utilities</t>
  </si>
  <si>
    <t>Q1'18E Annualized LTM nos
Source: York Model</t>
  </si>
  <si>
    <t>GrafTech is the 2nd largest producer of graphite electrodes (excl China) and expects to be the largest producer by Q4 2018 when it completes some debottlenecking projects.</t>
  </si>
  <si>
    <t>GrafTech</t>
  </si>
  <si>
    <t>Janus is a turnkey supplier of interior solutions for the self-storage, commercial and industrial end markets.</t>
  </si>
  <si>
    <t>Janus International</t>
  </si>
  <si>
    <t>Construction Materials</t>
  </si>
  <si>
    <t>MB Aerospace is a Tier 1 precision component supplier to the commercial and military aero-engine and industrial gas turbine markets.</t>
  </si>
  <si>
    <t>MB Aerospace</t>
  </si>
  <si>
    <t>Safe Fleet designs, manufactures, assembles and markets safety and productivity products for fleet vehicles in Emergency &amp; Industrial, School Bus, Commercial Vehicle, and Transit Bus and Rail and Waste end markets.</t>
  </si>
  <si>
    <t>Safe Fleet</t>
  </si>
  <si>
    <t xml:space="preserve">TI Auto is a global manufacturer of fluid storage, carrying and delivery systems, primarily serving auto OEMs of light duty vehicles. Product offerings include brake and fuel lines, plastic fuel tanks. The company has manufacturing facilities in 29 countries, including wholly-owned operations that supply much of the production requirements in China. </t>
  </si>
  <si>
    <t>TI Group Auto</t>
  </si>
  <si>
    <t>EOC Group</t>
  </si>
  <si>
    <t>The combination of Mavis Tire and Express Oil Change &amp; Tire Engineers ("Express") will make it the 3rd largest auto service business in the U.S.</t>
  </si>
  <si>
    <t>PF LTM nos
Source: York Model</t>
  </si>
  <si>
    <t>Filtration Group</t>
  </si>
  <si>
    <t>Industrial Equipment</t>
  </si>
  <si>
    <t>Filtration Group is one of the largest and most diverse manufacturers and distributors of filtrations solutions.</t>
  </si>
  <si>
    <t>PF LTM nos 
Source: York Model</t>
  </si>
  <si>
    <t>Intralinks</t>
  </si>
  <si>
    <t>SyndTrak</t>
  </si>
  <si>
    <t>DebtDomain</t>
  </si>
  <si>
    <t>AXL / Intralinks</t>
  </si>
  <si>
    <t>CPN / Intralinks / DebtDomain / SyndTrak</t>
  </si>
  <si>
    <t>CWST / SyndTrak</t>
  </si>
  <si>
    <t>CMCO</t>
  </si>
  <si>
    <t>Shape Technologies</t>
  </si>
  <si>
    <t>Shape is a process automation solutions provider focused on ultra high pressure ("UHP") technology and advanced materials processing systems. Its products are used in applications such as waterjet cutting, high pressure cleaning and food pascalization.</t>
  </si>
  <si>
    <t>NRG Energy</t>
  </si>
  <si>
    <t>Utilities</t>
  </si>
  <si>
    <t>Energy: Electricity</t>
  </si>
  <si>
    <t>NRG Energy is an integrated power company with roughly 30GW of solar, wind, fossil, and nuclear capacity and serves more than 2.9MM retail customers.</t>
  </si>
  <si>
    <t>PF Capital structure post refinancing in March-2018
LTM Revenue and EBITDA is 3/31/2018E
Source: Company filings</t>
  </si>
  <si>
    <t>NRG</t>
  </si>
  <si>
    <t>PF Cap structure post repricing in Feb-2018</t>
  </si>
  <si>
    <t>Goldman Sachs</t>
  </si>
  <si>
    <t>PF LTM Revenue and FCF ending 3/31/2017
Source: York Model</t>
  </si>
  <si>
    <t>PF for acquisition of Paragon
Source: Lender Presentation, Feb-2018</t>
  </si>
  <si>
    <t>Morgan Stanley</t>
  </si>
  <si>
    <t>DXPE</t>
  </si>
  <si>
    <t>XPO</t>
  </si>
  <si>
    <t>Bank America NA</t>
  </si>
  <si>
    <t xml:space="preserve">Airxcel is a leading designer, manufacturer and distributor of branded, functional products for the OEM and aftermarket RV and Commercial &amp; Industrial markets ("C&amp;I"). </t>
  </si>
  <si>
    <t>Hunterstown</t>
  </si>
  <si>
    <t>Hunterstown is a natural gas-fired combined cycle facility in the PJM (MAAC) power market, with a full base load heat rate of 7,111 Btu/kWh (vs avg heat rate of other CCGT plants in PJM of ~7,700 Btu/kWh).</t>
  </si>
  <si>
    <t>Restated</t>
  </si>
  <si>
    <t>Wastequip</t>
  </si>
  <si>
    <t>Ecological services &amp; equipment</t>
  </si>
  <si>
    <t>Wastequip is a leading provider of containment equipment and solutions to the waste, recycling and industrial industries in the US. The company is the only national provider with full line of steel and plastic products to serve its diverse base of 6k customers and operates from 33 manufacturing, installation, repair and warehouse facilities across US, Canada and Mexico.</t>
  </si>
  <si>
    <t>Aleris International</t>
  </si>
  <si>
    <t>Metals &amp; Mining</t>
  </si>
  <si>
    <t>Aleris is a global player in the manufacture and sale of aluminum rolled products.</t>
  </si>
  <si>
    <t>Public</t>
  </si>
  <si>
    <t>BBB Industries</t>
  </si>
  <si>
    <t>Leading remanufacturer of non-discretionary and application-specific replacement parts to the North American auto aftermarket</t>
  </si>
  <si>
    <t>Monthly financials</t>
  </si>
  <si>
    <t>Morgan Stan Sr</t>
  </si>
  <si>
    <t>Electrical Components</t>
  </si>
  <si>
    <t>ECI manufactures and distributes wire harnesses. The firm offers products for electronic and electro-mechanical applications, including home appliances, heating, ventilation and air conditioning (HVAC) products, transportation equipment, construction and agricultural equipment, and vending and industrial machines.</t>
  </si>
  <si>
    <t>Electrical Equipment</t>
  </si>
  <si>
    <t>Harsco</t>
  </si>
  <si>
    <t>Boyd Corporation</t>
  </si>
  <si>
    <t>Boyd offers a comprehensive array of specialty material-based energy management and environmental sealing solutions. These solutions include customized products such as environmental seals, high tolerance gaskets, EMI / RFI shielding, dampers and acoustic and thermal insulation.</t>
  </si>
  <si>
    <t>Westinghouse</t>
  </si>
  <si>
    <t>Energy Equipment &amp; Services</t>
  </si>
  <si>
    <t>Westinghouse offers mission-critical products and services to operating nuclear power plants such as regularly scheduled maintenance services, fuel, spare parts and equipment.</t>
  </si>
  <si>
    <t>Source: DPL TLB Lender Presentation 8-21-18 vF</t>
  </si>
  <si>
    <t>http://investors.tiautomotive.com/reports-and-presentations/2018</t>
  </si>
  <si>
    <t>PF for financing
Source: USS - July 2018 Lender Presentation_2018.07.19</t>
  </si>
  <si>
    <t>Source: Annual report</t>
  </si>
  <si>
    <t>EAF / Intralinks</t>
  </si>
  <si>
    <t>PF LTM Nos
Source: HydroChem PSC Repricing LP April-2018</t>
  </si>
  <si>
    <t>PF LTM Nos ending Feb-2018
Source: HydroChem PSC Repricing LP April-2018</t>
  </si>
  <si>
    <t>Tenneco is one of the world's largest producers of Clean Air and Ride Performance products and systems for light vehicle, commercial truck, off-highway and other vehicle applications.</t>
  </si>
  <si>
    <t>Tenneco</t>
  </si>
  <si>
    <t>TEN</t>
  </si>
  <si>
    <t>Q1'18A
Annualized LTM nos
Source: York Model</t>
  </si>
  <si>
    <t>1H'18A Annualized LTM nos</t>
  </si>
  <si>
    <t>Kymera International</t>
  </si>
  <si>
    <t>Kymera is a materials company focused in two verticals: Light Metals (~60% of volume) aluminum-based powder and Red Metals (~40% of volume) copper-based powder.</t>
  </si>
  <si>
    <t>Husky is a global supplier of highly engineered systems solutions and related aftermarket services and components for the plastics injection molding equipment industry and the leading supplier to the PET preform packaging industry to end markets such as beverage and food containers, closures and medical applications.</t>
  </si>
  <si>
    <t>Husky International</t>
  </si>
  <si>
    <t>Garrett Advancing Motion</t>
  </si>
  <si>
    <t>GTX</t>
  </si>
  <si>
    <t>Garrett designs, manufactures and sells highly engineered turbocharger and electric-boosting technologies for light and commercial vehicle OEMs and the aftermarket.</t>
  </si>
  <si>
    <t>Altra Industrial Motion</t>
  </si>
  <si>
    <t>Altra is a global designer, producer and marketer of wide range of mechanical power transmission, motion control and automation ("PTMC") products.</t>
  </si>
  <si>
    <t>Source: Company Financials</t>
  </si>
  <si>
    <t>Source: 10-Q</t>
  </si>
  <si>
    <t>Source: Company Financials (Compliance Certificate)</t>
  </si>
  <si>
    <t>Source: Lenders Presentation (Sept. 2018) &amp; Co. Filings</t>
  </si>
  <si>
    <t>Source: Company Financials, Debt sourced from York Model</t>
  </si>
  <si>
    <t>Source: York Model and Lenders Presentation</t>
  </si>
  <si>
    <t>Source: Company Financials &amp; Q2 LP</t>
  </si>
  <si>
    <t>Source: Company Financials &amp; Q2 Slides</t>
  </si>
  <si>
    <t>Source: Lenders Presentation</t>
  </si>
  <si>
    <t>Source: Lenders Presentation &amp; Company Financials</t>
  </si>
  <si>
    <t>Source: Company Financials &amp; Compliance Certificate</t>
  </si>
  <si>
    <t>United Rentals, Inc. is the largest equipment rental company in the world, with an integrated network of 1,008 rental locations in the United States and Canada.</t>
  </si>
  <si>
    <t>Source: 10-K</t>
  </si>
  <si>
    <t>United Rentals</t>
  </si>
  <si>
    <t xml:space="preserve">PF for acquisition of Federal Mogul
</t>
  </si>
  <si>
    <t>https://www.sec.gov/Archives/edgar/data/1735707/000119312518255570/d518068dex991.htm#tx518068_9</t>
  </si>
  <si>
    <r>
      <t xml:space="preserve">LTM Nos are PF of acquisition </t>
    </r>
    <r>
      <rPr>
        <b/>
        <sz val="10"/>
        <color theme="0"/>
        <rFont val="Calibri"/>
        <family val="2"/>
        <scheme val="minor"/>
      </rPr>
      <t xml:space="preserve">
Source: LP</t>
    </r>
  </si>
  <si>
    <t>RCF</t>
  </si>
  <si>
    <t>Source: Company Financials and LP</t>
  </si>
  <si>
    <t>Updated Sept 18 + Write Up</t>
  </si>
  <si>
    <t>Source: Q3 Presentation</t>
  </si>
  <si>
    <t>Distributed Power (GE)</t>
  </si>
  <si>
    <t>Distributed Power ("DP") is a leading provider of reciprocating gas engines, power equipment and services focused on the power generation and gas compression at or near the point of use.</t>
  </si>
  <si>
    <t>Source: Q3 18 Financials excel</t>
  </si>
  <si>
    <t>Updated Sept 18</t>
  </si>
  <si>
    <t>Commercial operations began June 1, 2018</t>
  </si>
  <si>
    <t>Updated Sept 2018 + PF for Sale</t>
  </si>
  <si>
    <t>Source: Company Financials, Debt from York Model</t>
  </si>
  <si>
    <t>Pro Forma for sale of Washington County by Mackinaw Power, LLC</t>
  </si>
  <si>
    <t>Source: Company Financials &amp; Q3 LP, Debt from York Model</t>
  </si>
  <si>
    <t>Plastipak</t>
  </si>
  <si>
    <t>Containers &amp; glass products</t>
  </si>
  <si>
    <t>Containers, Packaging &amp; Glass</t>
  </si>
  <si>
    <t>Plastipak designs, manufactures &amp; supplies plastic packaging containers and preforms to a diverse consumer products companies. For the LTM July 29, 2017, the Company manufactured and distributed approximately 13.8 billion containers and 26.9 billion preforms worldwide to ~1,200 customers.</t>
  </si>
  <si>
    <t>C&amp;D Technologies</t>
  </si>
  <si>
    <t>C&amp;D designs and manufactures industrial backup power and specialty motive batteries globally, with #2 market share in North America.</t>
  </si>
  <si>
    <t>PF No's
Source: York Model</t>
  </si>
  <si>
    <t>LTM no's are PF for October 18 LBO</t>
  </si>
  <si>
    <t>Source: Q2 Results Presentation</t>
  </si>
  <si>
    <t>20190121 - Merged with GFL Enviornmental / GFL is in our portfolio / Do not update</t>
  </si>
  <si>
    <t>StandardAero</t>
  </si>
  <si>
    <t xml:space="preserve">StandardAero is a global independent provider of aftermarket maintenance, repair and overhaul (“MRO”) services for gas turbine engines and auxiliary power units (“APUs”) to the commercial, regional, business, military, and rotary aircraft markets. The Company also provides component repairs and MRO services for helicopter and business jet airframes. </t>
  </si>
  <si>
    <t>PF Numbers
Source: York Model</t>
  </si>
  <si>
    <t>Caliber Collision</t>
  </si>
  <si>
    <t>Caliber Collision is the largest automobile repair multi-shop operator ("MSO") in the US, and is in the market to finance their merger with ABRA. PF for the merger, the combined company will operate 1,038 repair centers (979 leased/59 franchised) across 28 states.</t>
  </si>
  <si>
    <t>20190121 - Acquited by Tenneco / Do not update</t>
  </si>
  <si>
    <t>Q. Mail?</t>
  </si>
  <si>
    <t>Uploaded on</t>
  </si>
  <si>
    <t>Updated on</t>
  </si>
  <si>
    <t>External Links</t>
  </si>
  <si>
    <t>Y</t>
  </si>
  <si>
    <t>N</t>
  </si>
  <si>
    <t>Chemicals &amp; plastics</t>
  </si>
  <si>
    <t xml:space="preserve">Vantage is a producer of naturally-derived specialty ingredients and additives used in cosmetics, fuel additives, detergents, and food. The Company offers a broad portfolio of over 2,000 ingredients and custom-tailored solutions, and the majority of its products are derived from sustainable animal and vegetable-based feedstocks. </t>
  </si>
  <si>
    <t>AIMC</t>
  </si>
  <si>
    <t>Source: 10-k</t>
  </si>
  <si>
    <t>URI</t>
  </si>
  <si>
    <t>Public / SyndTrak</t>
  </si>
  <si>
    <t>Sponsor</t>
  </si>
  <si>
    <t>B10</t>
  </si>
  <si>
    <t>B8</t>
  </si>
  <si>
    <t>Blackstone Group</t>
  </si>
  <si>
    <t>Energy Capital Partners</t>
  </si>
  <si>
    <t>H.I.G. Capital</t>
  </si>
  <si>
    <t>Hellman &amp; Friedman, OMERS PE, Leonard Green and Management</t>
  </si>
  <si>
    <t>Carlyle</t>
  </si>
  <si>
    <t>KPS Capital Partners</t>
  </si>
  <si>
    <t>Young family, GS Capital Partners</t>
  </si>
  <si>
    <t>Advent International Corporation</t>
  </si>
  <si>
    <t>Public (ticker: URI)</t>
  </si>
  <si>
    <t>Public (ticker: AIMC)</t>
  </si>
  <si>
    <t>Public (NYSE: GTX)</t>
  </si>
  <si>
    <t>Platinum Equity</t>
  </si>
  <si>
    <t>Palladium</t>
  </si>
  <si>
    <t>Public (NYSE: TEN)</t>
  </si>
  <si>
    <t>Brookfield</t>
  </si>
  <si>
    <t>GS Merchant Banking</t>
  </si>
  <si>
    <t>Bain Capital</t>
  </si>
  <si>
    <t>Platinum Equity/AOS</t>
  </si>
  <si>
    <t>Cerberus Capital Management</t>
  </si>
  <si>
    <t>Genstar</t>
  </si>
  <si>
    <t>Oaktree</t>
  </si>
  <si>
    <t>Oak Hill</t>
  </si>
  <si>
    <t>Little John</t>
  </si>
  <si>
    <t xml:space="preserve">Public (Ticker: NRG) </t>
  </si>
  <si>
    <t>Blackstone</t>
  </si>
  <si>
    <t>Public (ticker: XPO)</t>
  </si>
  <si>
    <t>Onex, Paine &amp; Partners</t>
  </si>
  <si>
    <t>New Mountain Capital</t>
  </si>
  <si>
    <t>Arclight</t>
  </si>
  <si>
    <t>Carlyle and GE Energy Financial Services</t>
  </si>
  <si>
    <t>APAX</t>
  </si>
  <si>
    <t>Kelso &amp; Company</t>
  </si>
  <si>
    <t>Ares EIF / Oaktree (Highstar)</t>
  </si>
  <si>
    <t>Blackstone / Arclight</t>
  </si>
  <si>
    <t>Clearlake Capital</t>
  </si>
  <si>
    <t>Public (ticker: HSC)</t>
  </si>
  <si>
    <t>Public (Ticker: EAF)</t>
  </si>
  <si>
    <t>Highbridge, Hawthorn Equity &amp; Macquarie</t>
  </si>
  <si>
    <t>Madison Capital Partners</t>
  </si>
  <si>
    <t>Golden Gate Capital</t>
  </si>
  <si>
    <t>Public (ticker: DXPE)</t>
  </si>
  <si>
    <t>Advent &amp; Centerbridge</t>
  </si>
  <si>
    <t>KKR</t>
  </si>
  <si>
    <t xml:space="preserve">American Securities </t>
  </si>
  <si>
    <t>Public (ticker: CMCO)</t>
  </si>
  <si>
    <t>Public (ticker: CPN)</t>
  </si>
  <si>
    <t>CD&amp;R</t>
  </si>
  <si>
    <t>Bohai (subsidiary of HNA Group)</t>
  </si>
  <si>
    <t>GDF Suez, Mitsui, JEMP Family/Harbert, Energy Investors Fund</t>
  </si>
  <si>
    <t>TPG / Ares</t>
  </si>
  <si>
    <t>Public (ticker: AXL)</t>
  </si>
  <si>
    <t>L Catterton</t>
  </si>
  <si>
    <t>Source: Company Filings</t>
  </si>
  <si>
    <t>Total RCF available</t>
  </si>
  <si>
    <t>Source: Company Filings and LP. Cap Structure and LTM no's are ProForma.</t>
  </si>
  <si>
    <t>Airxcel, Inc.</t>
  </si>
  <si>
    <t>Culligan</t>
  </si>
  <si>
    <t>DXP Enterprises</t>
  </si>
  <si>
    <t>Electrical Components International</t>
  </si>
  <si>
    <t>Vantage Specialties</t>
  </si>
  <si>
    <t>TPF II Power</t>
  </si>
  <si>
    <t>http://investor.aleris.com/sec-filings</t>
  </si>
  <si>
    <t>Source: Company Presentation and Financials</t>
  </si>
  <si>
    <t>Source: Company Financials and York model</t>
  </si>
  <si>
    <t>LTM no's are 4 quarters annualized for Federal-Mogul acquisition</t>
  </si>
  <si>
    <t>Public: AQUA</t>
  </si>
  <si>
    <t>Power Solutions</t>
  </si>
  <si>
    <t xml:space="preserve">Power Solutions is a leading manufacturer and distributor of advanced auto battery technologies (provides more than 1/3 of the world's lead-acid automotive batteries to OEs and aftermarket retailers. </t>
  </si>
  <si>
    <t>Brookfield Business Partners</t>
  </si>
  <si>
    <t>Source: Quarterly Results Update</t>
  </si>
  <si>
    <t>Syndtrak</t>
  </si>
  <si>
    <t>Debtdomain</t>
  </si>
  <si>
    <t>PF Numbers
Source: Company Financials and LP</t>
  </si>
  <si>
    <t>Source: Company Financials and York Model</t>
  </si>
  <si>
    <t>Source: 4Q18 Presentation</t>
  </si>
  <si>
    <t>BC Partners, Carlyle</t>
  </si>
  <si>
    <t xml:space="preserve">Sundyne designs, manufactures and supports highly-engineered centrifugal sealed and sealless pumps and gas compressors where reliability, uptime and durability are critical to customers. Sundyne's portfolio of brands are #1 and #2 in their respective niches and applications, and its aftermarket business drives more than 65% of total gross profit. Sundyne serves its customers across multiple end markets through four manufacturing facilities, nine sales sites and 135 channel partners. Sundyne has an installed base of ~40,000 pumps and 3,300 compressors. </t>
  </si>
  <si>
    <t>PF Cap Structure
Source: York Model</t>
  </si>
  <si>
    <t>Sundyne</t>
  </si>
  <si>
    <t>(Quarter includes additional nine days)
Source: Company Financials</t>
  </si>
  <si>
    <t>(Quarter exludes additional nine days)
Source: Company Financials</t>
  </si>
  <si>
    <t>Quarterly mail sent and updated for March 2019 from Company Report</t>
  </si>
  <si>
    <t>LTM Revenues are 2Q Annualized
Source: 10-Q</t>
  </si>
  <si>
    <t>LTM EBITDA is sourced from presentation</t>
  </si>
  <si>
    <t>Updated March 2019 from 10-Q / Big divesture lot of confusion</t>
  </si>
  <si>
    <t>Public: (Ticker: DPL)</t>
  </si>
  <si>
    <t>PF Numbers
Source: Lenders Presentation</t>
  </si>
  <si>
    <t>EBITDA sourced from HCPSC  Q1 2019 Proforma EBITDA reconciliation</t>
  </si>
  <si>
    <t>LTM PF EBITDA sourced from HCPSC Q2 2018 Proforma EBITDA reconciliation sent GS 081618</t>
  </si>
  <si>
    <t>EBITDA sourced from HCPSC Q3 2018 Proforma EBITDA reconciliation sent GS 081618</t>
  </si>
  <si>
    <t>EBITDA sourced from HCPSC Q4 2018 Proforma EBITDA reconciliation</t>
  </si>
  <si>
    <t xml:space="preserve">Source: Company Financials </t>
  </si>
  <si>
    <t>Cheniere Energy Partners, L.P. ("CQP") is a publicly-traded Delaware limited partnership formed in 2006 by Cheniere Energy, Inc. (“CEI”) a world leader in LNG export. Through its wholly owned subsidiary, Sabine Pass Liquefaction (“SPL”), CQP owns 5 fully-operational and contracted LNG Trains, with a fully-permitted, planned 6th train in late-stage development.</t>
  </si>
  <si>
    <t>N/A</t>
  </si>
  <si>
    <t>PF Debt
Source: Company Financials and Presentation</t>
  </si>
  <si>
    <t>PF Cap Structure
Source: Lenders Presentation May 2019</t>
  </si>
  <si>
    <t>Amounts in USD 
Source: York Model</t>
  </si>
  <si>
    <t>Amounts in €
Source: Company Financials</t>
  </si>
  <si>
    <t>JP Morgan Chase</t>
  </si>
  <si>
    <t>CS/Cayman</t>
  </si>
  <si>
    <t>Bank of America</t>
  </si>
  <si>
    <t>UniCredit Bank</t>
  </si>
  <si>
    <t>Deutsche Bank NY</t>
  </si>
  <si>
    <t>Credit Suisse; Goldman Sachs</t>
  </si>
  <si>
    <t>Royal Bk Can(US)</t>
  </si>
  <si>
    <t>Barclays Bank</t>
  </si>
  <si>
    <t>UBS AG/Stamford</t>
  </si>
  <si>
    <t>RBC Capital Mkts</t>
  </si>
  <si>
    <t>CS/Cayman; Deutsche Bank NY</t>
  </si>
  <si>
    <t>UBS Securities</t>
  </si>
  <si>
    <t>Credit Suisse; CS/Cayman</t>
  </si>
  <si>
    <t>Keybank NA</t>
  </si>
  <si>
    <t>Citibank NA</t>
  </si>
  <si>
    <t>Credit Suisse</t>
  </si>
  <si>
    <t>Jefferies Fin</t>
  </si>
  <si>
    <t>BMO Capital Mkts</t>
  </si>
  <si>
    <t>Citibank NA; Morgan Stan Sr</t>
  </si>
  <si>
    <t>Deutsche Bank; Deutsche Bank NY</t>
  </si>
  <si>
    <t>PF Cap Structure
Source: April 2019 Lenders Presentation</t>
  </si>
  <si>
    <t>Pike Family, GPI Capital, ClearSky and NextEra</t>
  </si>
  <si>
    <t>MS</t>
  </si>
  <si>
    <t>Source: Company Financials and July 2019 LP</t>
  </si>
  <si>
    <t>LTM Revenues are 3Q Annualized
Source: 10-Q</t>
  </si>
  <si>
    <t>EBIT</t>
  </si>
  <si>
    <t>Impairment</t>
  </si>
  <si>
    <t>D&amp;A</t>
  </si>
  <si>
    <t>MTM</t>
  </si>
  <si>
    <t>SBC</t>
  </si>
  <si>
    <t>Updated June 2019 + WU from Investor relations / Save docs/ Semi Annual Reporting</t>
  </si>
  <si>
    <t>Source: 1Q19 Presentation and June 2019 LP</t>
  </si>
  <si>
    <t>Airlines</t>
  </si>
  <si>
    <t>Onex</t>
  </si>
  <si>
    <t>BARC</t>
  </si>
  <si>
    <t>WestJet is one of two leading airlines in 2 player Canadian market with 37% market share in the domestic market and 21% transborder market share (expected to be 28% with Delta transborder JV). No other airline has greater than 3% domestic share in Canada besides Air Canada.</t>
  </si>
  <si>
    <t>EBITDA sourced from HCPSC  Q2 2019 Proforma EBITDA reconciliation</t>
  </si>
  <si>
    <t>WestJet</t>
  </si>
  <si>
    <t>Total</t>
  </si>
  <si>
    <t>Acquisitions</t>
  </si>
  <si>
    <t>Organic</t>
  </si>
  <si>
    <t>Blackstone CQP Holdco</t>
  </si>
  <si>
    <t>Financials NA for 2Q19 (March 2019)</t>
  </si>
  <si>
    <t>Source: Company financials and presentation</t>
  </si>
  <si>
    <t>PF Cap Structure Source: Company Financials and July 19 LP</t>
  </si>
  <si>
    <t>Daniel Marcel</t>
  </si>
  <si>
    <t>Updated June 2019 from company financials</t>
  </si>
  <si>
    <t>LTM Revenues (2Q's Annualized), EBITDA as per Credit Agreement</t>
  </si>
  <si>
    <t>LTM Revenues (1Q Annualized), EBITDA as per Credit Agreement</t>
  </si>
  <si>
    <t>Public (ticker: WMS)</t>
  </si>
  <si>
    <t>ADS is the leading manufacturer of high performance thermoplastic corrugated pipe, providing storm water management products and drainage solutions for construction, infrastructure and agriculture end-markets. ADS has been taking market share gains by displacing traditional materials. ADS serves primarily in the US with 56 manufacturing plants and 32 distribution centers.</t>
  </si>
  <si>
    <t>PF Cap Structure from June 2019 Lenders Presentation</t>
  </si>
  <si>
    <t>PF Cap Structure
Source: Company Presentation</t>
  </si>
  <si>
    <t>Source: Company Financials and 2Q19 Lenders Presentation</t>
  </si>
  <si>
    <t>Advanced Drainage Systems</t>
  </si>
  <si>
    <t>APi Group</t>
  </si>
  <si>
    <t>Construction &amp; Engineering</t>
  </si>
  <si>
    <t>Public (ticker: APG)</t>
  </si>
  <si>
    <t>Citi</t>
  </si>
  <si>
    <t xml:space="preserve">APi is a provider of commercial safety solutions and industrial specialty services to customers in variety of end markets including fire and security, manufacturing, public and private infrastructure, commercial real estate and oil &amp; gas. The company has pursued broad-based M&amp;A strategy in highly fragmented end markets, having completed 50+ acquisitions since 2005. </t>
  </si>
  <si>
    <t>American Tire Distributors</t>
  </si>
  <si>
    <t>Columbus Mckinnon</t>
  </si>
  <si>
    <t>CPM Acquisition</t>
  </si>
  <si>
    <t>Crosby</t>
  </si>
  <si>
    <t>GFL Environmental</t>
  </si>
  <si>
    <t>United Site Services (USS)</t>
  </si>
  <si>
    <t xml:space="preserve">Source: 10-Q and Presentation </t>
  </si>
  <si>
    <t>PF LTM EBITDA
Source: September 2019 LP</t>
  </si>
  <si>
    <t>Source: Company Financials and September 2019 LP</t>
  </si>
  <si>
    <t>Transportation Infrastructure</t>
  </si>
  <si>
    <t>G&amp;W is a diversified transportation and infrastructure platform w/ rail assets of significant scale and operations in North America (90% of EBITDA), U.K. and Europe. The company owns 116 short line railroads (covering 13k+ miles across 42 states and 4 Canadian provinces) that are critical network to first/last mile interconnections to Class I railroads in North America (and over 1.7mm annual carloads).</t>
  </si>
  <si>
    <t>Brookfield and GIC</t>
  </si>
  <si>
    <t>CS</t>
  </si>
  <si>
    <t>AQUA / SyndTrak</t>
  </si>
  <si>
    <t>Source: Company Financials and October 2019 LP</t>
  </si>
  <si>
    <t>Genesee &amp; Wyoming</t>
  </si>
  <si>
    <t>CQP</t>
  </si>
  <si>
    <t>Blackstone (CQP)</t>
  </si>
  <si>
    <t>Corporate Structure</t>
  </si>
  <si>
    <t>NEW - From Scratch / Updated from scratch using York Model / Look at the cap structure</t>
  </si>
  <si>
    <t>PF Cap Structure
Source: 10-Q</t>
  </si>
  <si>
    <t xml:space="preserve">Last 4Q's are PF for Abra Acq.
Source: Company Financials </t>
  </si>
  <si>
    <t>WMS</t>
  </si>
  <si>
    <t>Source: 10-Q and Presentation</t>
  </si>
  <si>
    <t>Source: October 2019 LP and York Model</t>
  </si>
  <si>
    <t>Source: Company Financials (IR)</t>
  </si>
  <si>
    <t>Debt and Leverage no's use Adjusted Debt and EBITDAR
Source: York Model</t>
  </si>
  <si>
    <t>Adjust debt number from future LP</t>
  </si>
  <si>
    <r>
      <t>Investi</t>
    </r>
    <r>
      <rPr>
        <b/>
        <sz val="10"/>
        <color theme="1"/>
        <rFont val="Calibri"/>
        <family val="2"/>
        <scheme val="minor"/>
      </rPr>
      <t>ng and financial WC, not a part of WC changes</t>
    </r>
  </si>
  <si>
    <t>Sourced from google by searching Westjet third quarter 2019</t>
  </si>
  <si>
    <t>Cobham is a global A&amp;D supplier and operates on 5 continents, in 16 countries, from 70 sites, with more than 10k employees. The Company's primary end markets are defense (67%) and commercial aerospace, space and maritime (33%).  Cobham is organized into 4 distinct segments - Advanced Electronic Solutions (AES), Mission Systems (MS), Communications &amp; Connectivity (C&amp;C) and Aviation Services (AvS ).</t>
  </si>
  <si>
    <t>Advent</t>
  </si>
  <si>
    <t>GS</t>
  </si>
  <si>
    <t>(in £ mm)
Source: York Model</t>
  </si>
  <si>
    <t>Cobham</t>
  </si>
  <si>
    <t>Updated for December 2019 from Company Financials/  SYM</t>
  </si>
  <si>
    <t>PF Cap Structure 
Source: August Transaction update</t>
  </si>
  <si>
    <t>Updated December 2019 from Company Financials</t>
  </si>
  <si>
    <t>Total Debt is Net Debt from Presentation</t>
  </si>
  <si>
    <t>PF Cap Structure from January 2020 LP</t>
  </si>
  <si>
    <t>PF Cap Structure from March 2020 LP</t>
  </si>
  <si>
    <t>PF Cap Structure from Feb 2020 LP</t>
  </si>
  <si>
    <t>Source: Company financials</t>
  </si>
  <si>
    <t>Source: Company Financials and March 2020 LP</t>
  </si>
  <si>
    <t>EBITDA sourced from HCPSC  Q3 2019 Proforma EBITDA reconciliation</t>
  </si>
  <si>
    <t>EBITDA sourced from HCPSC  Q4 2019 Proforma EBITDA reconciliation</t>
  </si>
  <si>
    <t>EBITDA sourced from HCPSC  Q1 2020 Proforma EBITDA reconciliation</t>
  </si>
  <si>
    <t>Source: York Model and Company Financials</t>
  </si>
  <si>
    <t>Source: Company Financials and 3Q19 Lenders Presentation</t>
  </si>
  <si>
    <t>Source: Company Financials and 4Q19 Lenders Presentation</t>
  </si>
  <si>
    <t>Source: 10-K and Presentation</t>
  </si>
  <si>
    <t>PF Cap Structure</t>
  </si>
  <si>
    <t>Est. Debt
Source: Company Financials</t>
  </si>
  <si>
    <t>https://www.sec.gov/cgi-bin/browse-edgar?action=getcompany&amp;CIK=0001796209&amp;owner=exclude&amp;count=40&amp;hidefilings=0</t>
  </si>
  <si>
    <t>Thyssenkrupp Elevator</t>
  </si>
  <si>
    <t>Building Products</t>
  </si>
  <si>
    <t>NEW - Updated from scratch</t>
  </si>
  <si>
    <t xml:space="preserve">thyssenkrupp Elevator is a leading international provider of elevator technology with globally diverse operations in 1k locations worldwide and serving customers in more than 100 countries. </t>
  </si>
  <si>
    <t>Advent &amp; Cinven</t>
  </si>
  <si>
    <t>US Syndication -- GS</t>
  </si>
  <si>
    <t>Quarterly mail sent and updated for June 2020 from 10-Q</t>
  </si>
  <si>
    <t xml:space="preserve">Source: 10-K and Presentation </t>
  </si>
  <si>
    <t>Source: Company Financials and Presentation</t>
  </si>
  <si>
    <t>EBITDA sourced from HCPSC  Q2 2020 Proforma EBITDA reconciliation</t>
  </si>
  <si>
    <t>Asplundh</t>
  </si>
  <si>
    <t>Asplundh is NA's largest provider of vegetation management services. The company also services the critical infrastructure of utility companies and offers commercial landscape services</t>
  </si>
  <si>
    <t>CVC/Family</t>
  </si>
  <si>
    <t>Wells Fargo</t>
  </si>
  <si>
    <t>APG / DebtDomain</t>
  </si>
  <si>
    <t>(in $ mm)
Source: Presentation</t>
  </si>
  <si>
    <t>Source: Company Financials and Lenders Presentation</t>
  </si>
  <si>
    <t>Quarterly mail sent and updated for September 2020 from 10-Q</t>
  </si>
  <si>
    <t>EBITDA sourced from HCPSC  Q3 2020 Proforma EBITDA reconciliation</t>
  </si>
  <si>
    <t xml:space="preserve">White Cap </t>
  </si>
  <si>
    <t>The combination of White Cap and CSG will create leading NA distributor of a diverse mix of concrete accessories and specialty construction &amp; safety products with 9% mkr share (7x next largest distributor), and operate 403 branches across US And Canada, offer more than 400k SKUs, serve more than 230k customers and employ 7.3k employees.</t>
  </si>
  <si>
    <t>CD&amp;R, Sterling Group</t>
  </si>
  <si>
    <t>RBC</t>
  </si>
  <si>
    <t>White Cap</t>
  </si>
  <si>
    <t>PF from June end 2020 LP
Source: York Model</t>
  </si>
  <si>
    <t>Updated Sept 2020 from company financials</t>
  </si>
  <si>
    <r>
      <t>Updated Sept 2020 from Company Financials /</t>
    </r>
    <r>
      <rPr>
        <b/>
        <sz val="10"/>
        <rFont val="Arial"/>
        <family val="2"/>
      </rPr>
      <t xml:space="preserve"> </t>
    </r>
    <r>
      <rPr>
        <sz val="10"/>
        <rFont val="Arial"/>
        <family val="2"/>
      </rPr>
      <t xml:space="preserve"> SYM </t>
    </r>
  </si>
  <si>
    <t>Updated Sept 2020 from company financials / SYM</t>
  </si>
  <si>
    <t>US LBM</t>
  </si>
  <si>
    <t>US LBM is one of the largest building materials distributors in the United States (#1 and #2 position in its local markets served). The company operates 271 locations across 32 states and has completed over 55 acquisitions and opened more than 30 greenfields since inception in 2009.</t>
  </si>
  <si>
    <t xml:space="preserve">Bain Capital </t>
  </si>
  <si>
    <t>Source:York Model</t>
  </si>
  <si>
    <t xml:space="preserve">Truck Hero </t>
  </si>
  <si>
    <t>Truck Hero is a manufacturer and marketer of branded functional accessories for pickup trucks and Jeep Wranglers. Product portfolio includes truck bed covers, truck caps, floor liners, steps/running boards, fender flares, window products and other off-road functional accessories.</t>
  </si>
  <si>
    <t>JEFF</t>
  </si>
  <si>
    <t>Truck Hero</t>
  </si>
  <si>
    <t>Commercial Services &amp; Supplies</t>
  </si>
  <si>
    <t>Consumer goods: Non-durable</t>
  </si>
  <si>
    <t>Protective Industrial Products</t>
  </si>
  <si>
    <t>PIP is a provider of essential, consumable high-performance hand and arm protection as well as other PPE products in NA sold through distribution and retail channels to 5,600+ customers across numerous end market segments.</t>
  </si>
  <si>
    <t>Odyssey Investment Partners</t>
  </si>
  <si>
    <t>Antares</t>
  </si>
  <si>
    <t>Foundation Building Materials ("FBM")</t>
  </si>
  <si>
    <t>FBM is construction materials distributor specializing in the local supply of wallboard, suspended ceiling systems, metal framing and complementary and other products. FBM has over 170 branches across 8 regional segments and is one of the largest distributors of wallboard and suspended ceiling systems in the US and Canada.</t>
  </si>
  <si>
    <t>American Securities</t>
  </si>
  <si>
    <t>Foundation Building Materials</t>
  </si>
  <si>
    <t>Quarterly mail sent and updated for Dec 2020 from 10-Q</t>
  </si>
  <si>
    <t>Source: Jan 2021 Lenders Presentation</t>
  </si>
  <si>
    <t>Updated Dec 2020 using 10-Q</t>
  </si>
  <si>
    <t>Flow Control Group</t>
  </si>
  <si>
    <t>Distributors</t>
  </si>
  <si>
    <t xml:space="preserve">FCG is a value-added distributor and technical advisor to more than 10k customers and 2k suppliers in NA for flow control and industrial automation products and related services. </t>
  </si>
  <si>
    <t>Updated Dec 2020 from company financials (10-K)</t>
  </si>
  <si>
    <t>Updated DEc 2020 and Write up</t>
  </si>
  <si>
    <t>ExGen Renewables</t>
  </si>
  <si>
    <t>ExGen Renewables IV, LLC ("ExGen" or the "Company"), a wholly-owned subsidiary of Exelon Corporation (NYSE:EXC), owns all or a material interest in 30 operating renewable generation projects in the United States totaling 975 mega-watts of capacity.</t>
  </si>
  <si>
    <t>Exelon (NYSE:EXC)</t>
  </si>
  <si>
    <t>Source: Feb 2021 Lenders Presentation</t>
  </si>
  <si>
    <t>Updated LTM nos using LP / New -Added from Scratch / Financial missing</t>
  </si>
  <si>
    <t>Restated Numbers 
Source: Company Financials</t>
  </si>
  <si>
    <t>Updated Dec 2020 / Dec financials missing   - Only PF structure - NEW - SYM</t>
  </si>
  <si>
    <t>First Brands Group</t>
  </si>
  <si>
    <t>First Brands is an automotive aftermarket platform offering critical maintenance and repair parts under a portfolio of brands. The Company acquired Champion Labs and Brake Parts Inc in 2020 that created a diversified portfolio of brands in wipers (Trico and ANCO), pumps (Carter and ASC/Airtex), filters (FRAM and Champion Labs), plugs (Autolite) and brake parts (Raybestos and other BPI brands).</t>
  </si>
  <si>
    <t>Private</t>
  </si>
  <si>
    <t>Quarterly mail sent and updated for Mar 2021 from Company Financials</t>
  </si>
  <si>
    <t>Quarterly mail sent and updated for Mar 2021 from Company Financials/ SYM</t>
  </si>
  <si>
    <t>EBITDA sourced from HCPSC  Q4 2020 Proforma EBITDA reconciliation</t>
  </si>
  <si>
    <t>EBITDA sourced from HCPSC  Q1 2021 Proforma EBITDA reconciliation</t>
  </si>
  <si>
    <t>Mar 2021 updated / Cap Str same as Dec 2020 / Est. Cap structure / Financials missing / Previous nos only LTM</t>
  </si>
  <si>
    <t>Updated Mar 2021 from company financials / confusing, keep a tab /  SYM</t>
  </si>
  <si>
    <t>Updated for Mar 2021 from Company Financials</t>
  </si>
  <si>
    <t>Updated Mar 2021 / Restated nos for 1Q19 and 4Q18 + PF Debt / SYM</t>
  </si>
  <si>
    <t>Updated for Mar 2021 &amp; Quarterly Mail sent / Check for presentation going forward</t>
  </si>
  <si>
    <t>Signature Aviation</t>
  </si>
  <si>
    <t>Air Freight &amp; Logistics</t>
  </si>
  <si>
    <t>Signature Aviation is the global leader of flight support services to the Business &amp; General Aviation market. The Company has continued to transform the fixed base operator (“FBO”) industry with on-airport refueling, hangar, baggage, de-icing, and other essential ground services that facilitate the day-to-day operations of B&amp;GA aircraft.</t>
  </si>
  <si>
    <t>Blackstone, GIP and Cascade Investment</t>
  </si>
  <si>
    <t xml:space="preserve">Lasership is the largest regional last mile parcel delivery provider in the eastern U.S. with a focus on business to consumer (“B2C”) deliveries for leading e-commerce retailers across apparel, health and beauty, food, and mass merchandise industries. </t>
  </si>
  <si>
    <t>Cabinetworks</t>
  </si>
  <si>
    <t>Cabinetworks is the second largest U.S. manufacturer of cabinets serving the repair &amp; remodel (“R&amp;R”) (~56% of Pro Forma Revenue) and new construction (~44% of Pro Forma Revenue) end-markets.</t>
  </si>
  <si>
    <t>BAML</t>
  </si>
  <si>
    <t>Sabre Industries</t>
  </si>
  <si>
    <t xml:space="preserve">Sabre Industries core offerings include custom-engineered utility transmission structures, wireless macro and small cell  towers, energy storage and equipment enclosures, hot dipped galvanizing services, as well as complete turnkey wireless cell site services. </t>
  </si>
  <si>
    <t>Folder</t>
  </si>
  <si>
    <t>Source: May 2021 LP</t>
  </si>
  <si>
    <t>Updated Mar 2021 / NEW - Updated from scratch</t>
  </si>
  <si>
    <t xml:space="preserve">Updated Mar 2021 / PF Cap Str / Updated using Presentation </t>
  </si>
  <si>
    <t>Updated Mar 2021 from Company Financials</t>
  </si>
  <si>
    <t>Updated Mar 2021 from company financials</t>
  </si>
  <si>
    <t xml:space="preserve">Updated Mar 2021 from Company Financials / SYM </t>
  </si>
  <si>
    <t>Updated Mar 2021 from company financials/ SYM</t>
  </si>
  <si>
    <t>Updated Mar 2021 from Presentation / Debt and Cash no's missing, update when financials available</t>
  </si>
  <si>
    <t>Updated Mar 2021 from Company Financials  / SYM</t>
  </si>
  <si>
    <t>Updated Mar 2021 from Company Financials/ SYM</t>
  </si>
  <si>
    <t>Updated Mar 2021 / PF December Cap Structure from Jan 2020 LP / EBITDA self for PQ - SYM</t>
  </si>
  <si>
    <t>Updated Mar 2021 from company financials / SYM</t>
  </si>
  <si>
    <t xml:space="preserve">Updated Mar 2021 from company financials </t>
  </si>
  <si>
    <t>Source: June 2021 LP</t>
  </si>
  <si>
    <t>Only Debt and Cash for Mar 21 wait for more /NEW - Updated from scratch</t>
  </si>
  <si>
    <t>NM</t>
  </si>
  <si>
    <t>Updated Mar 2021 /  Self-Calculated basic EBITDA / NEW - From Scratch / Only LTM no's</t>
  </si>
  <si>
    <t>Preliminary Numbers 
Source: Company Financials</t>
  </si>
  <si>
    <t>Updated May 21 financials / NEW - Updated from scratch</t>
  </si>
  <si>
    <t>Updated Mar 2021 from company financials, lil complicated / SYM</t>
  </si>
  <si>
    <t>Updated Mar 2021 - EBITDA Missing - Average of non recurring / Difficult / SYM</t>
  </si>
  <si>
    <t>Updated Mar 2021 from Company Financials / PF Debt for Gunnebo Acq. / SYM</t>
  </si>
  <si>
    <t xml:space="preserve">Updated Mar 2021 / under name Dynasty and Standard Aero both / SYM </t>
  </si>
  <si>
    <t>Source: Company Financials and June 2021 LP</t>
  </si>
  <si>
    <t>Updated Mar 2021 from company financials  / PF cap structure from March 2020 LP</t>
  </si>
  <si>
    <t xml:space="preserve">Updated Mar 2021 / Only LTM nos / NEW - From Scratch </t>
  </si>
  <si>
    <t>Updated Mar 2021 / some other data missing / Keep a tab while updating</t>
  </si>
  <si>
    <t>PF Cap Str
Source: April 2021 LP</t>
  </si>
  <si>
    <t>Updated Dec 2020 from financials in folder / Only LTM nos PF for Mar 2021 / No access to Datasite</t>
  </si>
  <si>
    <t>LaserShip Holdings, Inc.</t>
  </si>
  <si>
    <t>Updated Mar 2021 / New / Restated nos for Dec 20, check going forward</t>
  </si>
  <si>
    <t>Fairbanks Morse Defense</t>
  </si>
  <si>
    <t>Fairbanks Morse Defense ("FMD") is the leading provider of propulsion systems, ancillary power, motors, and controllers for the US Navy (USN) and US Coast Guard (USCG), and provides associated parts and maintenance, repair and overhaul services to its installed base of equipment.</t>
  </si>
  <si>
    <t>Arcline Investment Management</t>
  </si>
  <si>
    <t>Atlantic Aviation (AA or Atlantic) is the second largest fixed base operators (FBO) in the US providing fuel and related services, aircraft parking and hangar services to owners/operators of general aviation aircraft.</t>
  </si>
  <si>
    <t>Atlantic Aviation</t>
  </si>
  <si>
    <t>Quarterly mail sent and updated for June 2021 from 10-Q</t>
  </si>
  <si>
    <t>Quarterly mail sent and updated June 2021 from 10-Q</t>
  </si>
  <si>
    <t>Updated June 2021 from 10-Q and Presentation / NEW - Added from scratch</t>
  </si>
  <si>
    <t>Updated June 2021 numbers from investor relations / NEW - From Scratch / Only LTM no's</t>
  </si>
  <si>
    <t>Quarterly mail sent and updated for June 2021 from Company Financials</t>
  </si>
  <si>
    <t>Updated June 2021 from Company Financials</t>
  </si>
  <si>
    <t>Updated June 2021 and Write up</t>
  </si>
  <si>
    <t>Quarterly mail sent and updated for June 2021 from Presentation</t>
  </si>
  <si>
    <t>Quarterly mail sent and updated for June 2021 from Company Report</t>
  </si>
  <si>
    <t>Updated June 2020 and Write up</t>
  </si>
  <si>
    <t>EBITDA sourced from HCPSC  Q2 2021 Proforma EBITDA reconciliation</t>
  </si>
  <si>
    <t>Updated for June 2021 from 10-Q</t>
  </si>
  <si>
    <t>Updated June 2021 from Company Financials / Previous Q's data NA</t>
  </si>
  <si>
    <t xml:space="preserve">Quarterly mail sent and updated for June 2021 from Presentation </t>
  </si>
  <si>
    <t>Standard Industries</t>
  </si>
  <si>
    <t>Standard is a global manufacturing company focused on residential and commercial roofing and waterproofing products, insulation products, aggregates, specialty construction and other products.</t>
  </si>
  <si>
    <t>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</si>
</sst>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409]d\-mmm\-yy;@"/>
    <numFmt numFmtId="165" formatCode="#,##0.0_);\(#,##0.0\)"/>
    <numFmt numFmtId="166" formatCode="0.0%"/>
    <numFmt numFmtId="167" formatCode="0.0\x"/>
    <numFmt numFmtId="168" formatCode="0.0000000000000"/>
    <numFmt numFmtId="169" formatCode="#,##0.000_);\(#,##0.000\)"/>
    <numFmt numFmtId="170" formatCode="0.0"/>
    <numFmt numFmtId="171" formatCode="0.000\x"/>
    <numFmt numFmtId="172" formatCode="0.000000"/>
    <numFmt numFmtId="173" formatCode="0.000"/>
    <numFmt numFmtId="174" formatCode="#,##0.0"/>
  </numFmts>
  <fonts count="37">
    <font>
      <sz val="11"/>
      <color theme="1"/>
      <name val="Calibri"/>
      <family val="2"/>
      <scheme val="minor"/>
    </font>
    <font>
      <sz val="11"/>
      <color theme="1"/>
      <name val="Calibri"/>
      <family val="2"/>
      <scheme val="minor"/>
    </font>
    <font>
      <sz val="11"/>
      <name val="Calibri"/>
      <family val="2"/>
      <scheme val="minor"/>
    </font>
    <font>
      <sz val="10"/>
      <name val="Arial"/>
      <family val="2"/>
    </font>
    <font>
      <b/>
      <sz val="10"/>
      <name val="Arial"/>
      <family val="2"/>
    </font>
    <font>
      <b/>
      <sz val="11"/>
      <name val="Calibri"/>
      <family val="2"/>
      <scheme val="minor"/>
    </font>
    <font>
      <u/>
      <sz val="11"/>
      <color theme="10"/>
      <name val="Calibri"/>
      <family val="2"/>
      <scheme val="minor"/>
    </font>
    <font>
      <sz val="10"/>
      <color theme="1"/>
      <name val="Arial"/>
      <family val="2"/>
    </font>
    <font>
      <sz val="10"/>
      <color theme="1"/>
      <name val="Calibri"/>
      <family val="2"/>
      <scheme val="minor"/>
    </font>
    <font>
      <b/>
      <sz val="8"/>
      <color indexed="81"/>
      <name val="Tahoma"/>
      <family val="2"/>
    </font>
    <font>
      <sz val="8"/>
      <color indexed="81"/>
      <name val="Tahoma"/>
      <family val="2"/>
    </font>
    <font>
      <b/>
      <sz val="10"/>
      <color theme="1"/>
      <name val="Calibri"/>
      <family val="2"/>
      <scheme val="minor"/>
    </font>
    <font>
      <sz val="10"/>
      <color theme="0"/>
      <name val="Calibri"/>
      <family val="2"/>
      <scheme val="minor"/>
    </font>
    <font>
      <i/>
      <sz val="10"/>
      <color theme="1"/>
      <name val="Calibri"/>
      <family val="2"/>
      <scheme val="minor"/>
    </font>
    <font>
      <i/>
      <sz val="10"/>
      <color theme="0"/>
      <name val="Calibri"/>
      <family val="2"/>
      <scheme val="minor"/>
    </font>
    <font>
      <b/>
      <sz val="10"/>
      <color theme="0"/>
      <name val="Calibri"/>
      <family val="2"/>
      <scheme val="minor"/>
    </font>
    <font>
      <b/>
      <i/>
      <sz val="10"/>
      <color theme="1"/>
      <name val="Calibri"/>
      <family val="2"/>
      <scheme val="minor"/>
    </font>
    <font>
      <b/>
      <sz val="10"/>
      <color rgb="FF0000FF"/>
      <name val="Calibri"/>
      <family val="2"/>
      <scheme val="minor"/>
    </font>
    <font>
      <sz val="10"/>
      <color rgb="FF0000FF"/>
      <name val="Calibri"/>
      <family val="2"/>
      <scheme val="minor"/>
    </font>
    <font>
      <u val="singleAccounting"/>
      <sz val="10"/>
      <color theme="1"/>
      <name val="Calibri"/>
      <family val="2"/>
      <scheme val="minor"/>
    </font>
    <font>
      <sz val="9"/>
      <color theme="0"/>
      <name val="Calibri"/>
      <family val="2"/>
      <scheme val="minor"/>
    </font>
    <font>
      <sz val="10"/>
      <name val="Calibri"/>
      <family val="2"/>
      <scheme val="minor"/>
    </font>
    <font>
      <sz val="11"/>
      <color rgb="FFFF0000"/>
      <name val="Calibri"/>
      <family val="2"/>
      <scheme val="minor"/>
    </font>
    <font>
      <b/>
      <sz val="10"/>
      <name val="Calibri"/>
      <family val="2"/>
      <scheme val="minor"/>
    </font>
    <font>
      <sz val="11"/>
      <color theme="1" tint="0.34998626667073579"/>
      <name val="Calibri"/>
      <family val="2"/>
      <scheme val="minor"/>
    </font>
    <font>
      <sz val="10"/>
      <color theme="1" tint="0.34998626667073579"/>
      <name val="Arial"/>
      <family val="2"/>
    </font>
    <font>
      <b/>
      <i/>
      <sz val="10"/>
      <color rgb="FFC00000"/>
      <name val="Calibri"/>
      <family val="2"/>
      <scheme val="minor"/>
    </font>
    <font>
      <i/>
      <sz val="10"/>
      <name val="Calibri"/>
      <family val="2"/>
      <scheme val="minor"/>
    </font>
    <font>
      <b/>
      <i/>
      <sz val="10"/>
      <color rgb="FFFF0000"/>
      <name val="Calibri"/>
      <family val="2"/>
      <scheme val="minor"/>
    </font>
    <font>
      <b/>
      <sz val="10"/>
      <color rgb="FFC00000"/>
      <name val="Calibri"/>
      <family val="2"/>
      <scheme val="minor"/>
    </font>
    <font>
      <b/>
      <i/>
      <u/>
      <sz val="10"/>
      <color theme="1"/>
      <name val="Calibri"/>
      <family val="2"/>
      <scheme val="minor"/>
    </font>
    <font>
      <b/>
      <i/>
      <sz val="10"/>
      <name val="Calibri"/>
      <family val="2"/>
      <scheme val="minor"/>
    </font>
    <font>
      <sz val="10"/>
      <color rgb="FF000000"/>
      <name val="Inherit"/>
    </font>
    <font>
      <b/>
      <sz val="9"/>
      <color indexed="81"/>
      <name val="Tahoma"/>
      <family val="2"/>
    </font>
    <font>
      <sz val="9"/>
      <color indexed="81"/>
      <name val="Tahoma"/>
      <family val="2"/>
    </font>
    <font>
      <i/>
      <sz val="10"/>
      <color rgb="FF0000FF"/>
      <name val="Calibri"/>
      <family val="2"/>
      <scheme val="minor"/>
    </font>
    <font>
      <b/>
      <i/>
      <sz val="10"/>
      <color rgb="FF0000FF"/>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70C0"/>
        <bgColor indexed="64"/>
      </patternFill>
    </fill>
    <fill>
      <patternFill patternType="solid">
        <fgColor rgb="FFFF0000"/>
        <bgColor indexed="64"/>
      </patternFill>
    </fill>
    <fill>
      <patternFill patternType="solid">
        <fgColor theme="2" tint="-0.24994659260841701"/>
        <bgColor indexed="64"/>
      </patternFill>
    </fill>
    <fill>
      <patternFill patternType="solid">
        <fgColor rgb="FFCCFF66"/>
        <bgColor indexed="64"/>
      </patternFill>
    </fill>
  </fills>
  <borders count="7">
    <border>
      <left/>
      <right/>
      <top/>
      <bottom/>
      <diagonal/>
    </border>
    <border>
      <left/>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7">
    <xf numFmtId="0" fontId="0" fillId="0" borderId="0"/>
    <xf numFmtId="0" fontId="3" fillId="0" borderId="0"/>
    <xf numFmtId="0" fontId="6" fillId="0" borderId="0" applyNumberFormat="0" applyFill="0" applyBorder="0" applyAlignment="0" applyProtection="0"/>
    <xf numFmtId="0" fontId="3"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163">
    <xf numFmtId="0" fontId="0" fillId="0" borderId="0" xfId="0"/>
    <xf numFmtId="0" fontId="0" fillId="0" borderId="0" xfId="0" applyFill="1"/>
    <xf numFmtId="14" fontId="0" fillId="0" borderId="0" xfId="0" applyNumberFormat="1" applyFill="1"/>
    <xf numFmtId="0" fontId="4" fillId="0" borderId="0" xfId="1" applyFont="1" applyFill="1" applyBorder="1" applyAlignment="1">
      <alignment horizontal="center" wrapText="1"/>
    </xf>
    <xf numFmtId="0" fontId="2" fillId="0" borderId="0" xfId="0" applyFont="1" applyFill="1"/>
    <xf numFmtId="0" fontId="6" fillId="0" borderId="0" xfId="2" applyFill="1"/>
    <xf numFmtId="0" fontId="7" fillId="0" borderId="0" xfId="0" applyFont="1" applyFill="1"/>
    <xf numFmtId="0" fontId="7" fillId="0" borderId="0" xfId="0" applyFont="1" applyFill="1" applyAlignment="1">
      <alignment horizontal="left"/>
    </xf>
    <xf numFmtId="164" fontId="0" fillId="0" borderId="0" xfId="0" applyNumberFormat="1" applyFill="1" applyAlignment="1">
      <alignment horizontal="center"/>
    </xf>
    <xf numFmtId="0" fontId="8" fillId="0" borderId="0" xfId="0" applyFont="1" applyFill="1"/>
    <xf numFmtId="0" fontId="6" fillId="0" borderId="0" xfId="2" applyFill="1" applyBorder="1"/>
    <xf numFmtId="0" fontId="7" fillId="0" borderId="0" xfId="0" applyFont="1" applyFill="1" applyBorder="1"/>
    <xf numFmtId="0" fontId="0" fillId="0" borderId="0" xfId="0" applyFill="1" applyAlignment="1">
      <alignment horizontal="center"/>
    </xf>
    <xf numFmtId="0" fontId="11" fillId="2" borderId="0" xfId="0" applyFont="1" applyFill="1"/>
    <xf numFmtId="0" fontId="8" fillId="3" borderId="0" xfId="0" applyFont="1" applyFill="1"/>
    <xf numFmtId="0" fontId="11" fillId="2" borderId="0" xfId="0" applyFont="1" applyFill="1" applyAlignment="1">
      <alignment vertical="top"/>
    </xf>
    <xf numFmtId="0" fontId="8" fillId="3" borderId="0" xfId="0" applyFont="1" applyFill="1" applyAlignment="1"/>
    <xf numFmtId="0" fontId="11" fillId="3" borderId="0" xfId="0" applyFont="1" applyFill="1"/>
    <xf numFmtId="14" fontId="11" fillId="3" borderId="0" xfId="0" applyNumberFormat="1" applyFont="1" applyFill="1"/>
    <xf numFmtId="0" fontId="12" fillId="4" borderId="0" xfId="0" applyFont="1" applyFill="1"/>
    <xf numFmtId="165" fontId="12" fillId="4" borderId="0" xfId="0" applyNumberFormat="1" applyFont="1" applyFill="1"/>
    <xf numFmtId="166" fontId="13" fillId="3" borderId="0" xfId="0" applyNumberFormat="1" applyFont="1" applyFill="1"/>
    <xf numFmtId="0" fontId="14" fillId="4" borderId="0" xfId="0" applyFont="1" applyFill="1"/>
    <xf numFmtId="0" fontId="14" fillId="4" borderId="0" xfId="0" applyFont="1" applyFill="1" applyAlignment="1">
      <alignment horizontal="right"/>
    </xf>
    <xf numFmtId="0" fontId="13" fillId="3" borderId="0" xfId="0" applyFont="1" applyFill="1"/>
    <xf numFmtId="0" fontId="15" fillId="4" borderId="0" xfId="0" applyFont="1" applyFill="1"/>
    <xf numFmtId="165" fontId="15" fillId="4" borderId="0" xfId="0" applyNumberFormat="1" applyFont="1" applyFill="1"/>
    <xf numFmtId="165" fontId="11" fillId="3" borderId="0" xfId="0" applyNumberFormat="1" applyFont="1" applyFill="1"/>
    <xf numFmtId="165" fontId="12" fillId="4" borderId="0" xfId="0" applyNumberFormat="1" applyFont="1" applyFill="1" applyBorder="1"/>
    <xf numFmtId="165" fontId="12" fillId="4" borderId="1" xfId="0" applyNumberFormat="1" applyFont="1" applyFill="1" applyBorder="1"/>
    <xf numFmtId="165" fontId="14" fillId="4" borderId="1" xfId="0" applyNumberFormat="1" applyFont="1" applyFill="1" applyBorder="1"/>
    <xf numFmtId="165" fontId="16" fillId="3" borderId="0" xfId="0" applyNumberFormat="1" applyFont="1" applyFill="1"/>
    <xf numFmtId="0" fontId="16" fillId="3" borderId="0" xfId="0" applyFont="1" applyFill="1"/>
    <xf numFmtId="165" fontId="8" fillId="3" borderId="0" xfId="0" applyNumberFormat="1" applyFont="1" applyFill="1"/>
    <xf numFmtId="37" fontId="12" fillId="4" borderId="0" xfId="0" applyNumberFormat="1" applyFont="1" applyFill="1"/>
    <xf numFmtId="37" fontId="8" fillId="3" borderId="0" xfId="0" applyNumberFormat="1" applyFont="1" applyFill="1"/>
    <xf numFmtId="165" fontId="12" fillId="4" borderId="0" xfId="0" applyNumberFormat="1" applyFont="1" applyFill="1" applyAlignment="1">
      <alignment horizontal="right"/>
    </xf>
    <xf numFmtId="167" fontId="8" fillId="3" borderId="0" xfId="0" applyNumberFormat="1" applyFont="1" applyFill="1"/>
    <xf numFmtId="166" fontId="8" fillId="3" borderId="0" xfId="0" applyNumberFormat="1" applyFont="1" applyFill="1"/>
    <xf numFmtId="166" fontId="12" fillId="4" borderId="0" xfId="0" applyNumberFormat="1" applyFont="1" applyFill="1"/>
    <xf numFmtId="167" fontId="12" fillId="4" borderId="0" xfId="0" applyNumberFormat="1" applyFont="1" applyFill="1"/>
    <xf numFmtId="167" fontId="8" fillId="0" borderId="0" xfId="0" applyNumberFormat="1" applyFont="1" applyFill="1" applyAlignment="1">
      <alignment horizontal="right"/>
    </xf>
    <xf numFmtId="168" fontId="8" fillId="3" borderId="0" xfId="0" applyNumberFormat="1" applyFont="1" applyFill="1"/>
    <xf numFmtId="0" fontId="12" fillId="4" borderId="0" xfId="0" applyFont="1" applyFill="1" applyAlignment="1">
      <alignment vertical="top"/>
    </xf>
    <xf numFmtId="0" fontId="12" fillId="4" borderId="0" xfId="0" applyFont="1" applyFill="1" applyAlignment="1">
      <alignment vertical="top" wrapText="1"/>
    </xf>
    <xf numFmtId="14" fontId="8" fillId="3" borderId="0" xfId="0" applyNumberFormat="1" applyFont="1" applyFill="1"/>
    <xf numFmtId="165" fontId="17" fillId="3" borderId="0" xfId="0" applyNumberFormat="1" applyFont="1" applyFill="1"/>
    <xf numFmtId="164" fontId="0" fillId="2" borderId="0" xfId="0" applyNumberFormat="1" applyFill="1" applyAlignment="1">
      <alignment horizontal="center"/>
    </xf>
    <xf numFmtId="169" fontId="8" fillId="3" borderId="0" xfId="0" applyNumberFormat="1" applyFont="1" applyFill="1"/>
    <xf numFmtId="0" fontId="8" fillId="3" borderId="0" xfId="0" applyFont="1" applyFill="1" applyAlignment="1">
      <alignment horizontal="center"/>
    </xf>
    <xf numFmtId="10" fontId="8" fillId="3" borderId="0" xfId="4" applyNumberFormat="1" applyFont="1" applyFill="1"/>
    <xf numFmtId="165" fontId="18" fillId="3" borderId="0" xfId="0" applyNumberFormat="1" applyFont="1" applyFill="1"/>
    <xf numFmtId="165" fontId="8" fillId="3" borderId="0" xfId="0" applyNumberFormat="1" applyFont="1" applyFill="1" applyAlignment="1">
      <alignment horizontal="right"/>
    </xf>
    <xf numFmtId="165" fontId="11" fillId="0" borderId="0" xfId="0" applyNumberFormat="1" applyFont="1" applyFill="1"/>
    <xf numFmtId="165" fontId="11" fillId="3" borderId="0" xfId="0" applyNumberFormat="1" applyFont="1" applyFill="1" applyAlignment="1">
      <alignment horizontal="right"/>
    </xf>
    <xf numFmtId="0" fontId="8" fillId="3" borderId="0" xfId="0" applyFont="1" applyFill="1" applyAlignment="1">
      <alignment horizontal="right"/>
    </xf>
    <xf numFmtId="0" fontId="19" fillId="3" borderId="0" xfId="0" applyFont="1" applyFill="1" applyAlignment="1">
      <alignment horizontal="centerContinuous"/>
    </xf>
    <xf numFmtId="165" fontId="20" fillId="4" borderId="0" xfId="0" applyNumberFormat="1" applyFont="1" applyFill="1" applyBorder="1"/>
    <xf numFmtId="165" fontId="21" fillId="3" borderId="0" xfId="0" applyNumberFormat="1" applyFont="1" applyFill="1"/>
    <xf numFmtId="0" fontId="6" fillId="5" borderId="0" xfId="2" applyFill="1"/>
    <xf numFmtId="0" fontId="22" fillId="0" borderId="0" xfId="0" applyFont="1" applyFill="1"/>
    <xf numFmtId="0" fontId="7" fillId="0" borderId="0" xfId="0" applyFont="1" applyFill="1" applyAlignment="1">
      <alignment horizontal="center"/>
    </xf>
    <xf numFmtId="0" fontId="0" fillId="0" borderId="0" xfId="0" applyFill="1" applyAlignment="1">
      <alignment horizontal="left"/>
    </xf>
    <xf numFmtId="0" fontId="22" fillId="0" borderId="0" xfId="0" applyFont="1" applyFill="1" applyAlignment="1">
      <alignment horizontal="left"/>
    </xf>
    <xf numFmtId="17" fontId="8" fillId="3" borderId="0" xfId="0" applyNumberFormat="1" applyFont="1" applyFill="1"/>
    <xf numFmtId="165" fontId="23" fillId="3" borderId="0" xfId="0" applyNumberFormat="1" applyFont="1" applyFill="1"/>
    <xf numFmtId="166" fontId="14" fillId="4" borderId="0" xfId="0" applyNumberFormat="1" applyFont="1" applyFill="1" applyAlignment="1">
      <alignment horizontal="right"/>
    </xf>
    <xf numFmtId="0" fontId="4" fillId="6" borderId="5" xfId="1" applyFont="1" applyFill="1" applyBorder="1" applyAlignment="1">
      <alignment horizontal="center" wrapText="1"/>
    </xf>
    <xf numFmtId="0" fontId="4" fillId="6" borderId="1" xfId="1" applyFont="1" applyFill="1" applyBorder="1" applyAlignment="1">
      <alignment horizontal="center" wrapText="1"/>
    </xf>
    <xf numFmtId="0" fontId="5" fillId="6" borderId="6" xfId="0" applyFont="1" applyFill="1" applyBorder="1"/>
    <xf numFmtId="0" fontId="24" fillId="6" borderId="2" xfId="0" applyFont="1" applyFill="1" applyBorder="1"/>
    <xf numFmtId="0" fontId="24" fillId="6" borderId="3" xfId="0" applyFont="1" applyFill="1" applyBorder="1"/>
    <xf numFmtId="0" fontId="24" fillId="6" borderId="3" xfId="0" applyFont="1" applyFill="1" applyBorder="1" applyAlignment="1">
      <alignment horizontal="center"/>
    </xf>
    <xf numFmtId="0" fontId="24" fillId="6" borderId="3" xfId="0" applyFont="1" applyFill="1" applyBorder="1" applyAlignment="1">
      <alignment horizontal="left"/>
    </xf>
    <xf numFmtId="0" fontId="24" fillId="6" borderId="4" xfId="0" applyFont="1" applyFill="1" applyBorder="1"/>
    <xf numFmtId="3" fontId="11" fillId="3" borderId="0" xfId="0" applyNumberFormat="1" applyFont="1" applyFill="1"/>
    <xf numFmtId="3" fontId="8" fillId="3" borderId="0" xfId="0" applyNumberFormat="1" applyFont="1" applyFill="1"/>
    <xf numFmtId="0" fontId="5" fillId="6" borderId="1" xfId="0" applyFont="1" applyFill="1" applyBorder="1" applyAlignment="1">
      <alignment horizontal="left"/>
    </xf>
    <xf numFmtId="165" fontId="12" fillId="4" borderId="1" xfId="0" applyNumberFormat="1" applyFont="1" applyFill="1" applyBorder="1" applyAlignment="1">
      <alignment horizontal="right"/>
    </xf>
    <xf numFmtId="0" fontId="21" fillId="3" borderId="0" xfId="0" applyFont="1" applyFill="1"/>
    <xf numFmtId="0" fontId="6" fillId="0" borderId="0" xfId="2"/>
    <xf numFmtId="0" fontId="25" fillId="6" borderId="3" xfId="0" applyFont="1" applyFill="1" applyBorder="1"/>
    <xf numFmtId="0" fontId="25" fillId="6" borderId="3" xfId="0" applyFont="1" applyFill="1" applyBorder="1" applyAlignment="1">
      <alignment horizontal="center"/>
    </xf>
    <xf numFmtId="0" fontId="6" fillId="0" borderId="0" xfId="2" applyFill="1" applyAlignment="1">
      <alignment horizontal="center" shrinkToFit="1"/>
    </xf>
    <xf numFmtId="0" fontId="0" fillId="0" borderId="0" xfId="0" applyFont="1" applyFill="1"/>
    <xf numFmtId="165" fontId="11" fillId="3" borderId="3" xfId="0" applyNumberFormat="1" applyFont="1" applyFill="1" applyBorder="1"/>
    <xf numFmtId="10" fontId="11" fillId="3" borderId="0" xfId="4" applyNumberFormat="1" applyFont="1" applyFill="1"/>
    <xf numFmtId="166" fontId="11" fillId="3" borderId="0" xfId="4" applyNumberFormat="1" applyFont="1" applyFill="1"/>
    <xf numFmtId="165" fontId="13" fillId="3" borderId="0" xfId="0" applyNumberFormat="1" applyFont="1" applyFill="1"/>
    <xf numFmtId="37" fontId="26" fillId="3" borderId="0" xfId="0" applyNumberFormat="1" applyFont="1" applyFill="1"/>
    <xf numFmtId="170" fontId="8" fillId="3" borderId="0" xfId="0" applyNumberFormat="1" applyFont="1" applyFill="1"/>
    <xf numFmtId="166" fontId="27" fillId="3" borderId="0" xfId="0" applyNumberFormat="1" applyFont="1" applyFill="1"/>
    <xf numFmtId="0" fontId="27" fillId="3" borderId="0" xfId="0" applyFont="1" applyFill="1"/>
    <xf numFmtId="165" fontId="21" fillId="3" borderId="0" xfId="0" applyNumberFormat="1" applyFont="1" applyFill="1" applyAlignment="1">
      <alignment horizontal="right"/>
    </xf>
    <xf numFmtId="165" fontId="21" fillId="3" borderId="0" xfId="0" applyNumberFormat="1" applyFont="1" applyFill="1" applyBorder="1"/>
    <xf numFmtId="167" fontId="21" fillId="3" borderId="0" xfId="0" applyNumberFormat="1" applyFont="1" applyFill="1"/>
    <xf numFmtId="166" fontId="21" fillId="3" borderId="0" xfId="0" applyNumberFormat="1" applyFont="1" applyFill="1"/>
    <xf numFmtId="167" fontId="21" fillId="3" borderId="0" xfId="0" applyNumberFormat="1" applyFont="1" applyFill="1" applyAlignment="1">
      <alignment horizontal="right"/>
    </xf>
    <xf numFmtId="0" fontId="26" fillId="3" borderId="0" xfId="0" applyFont="1" applyFill="1"/>
    <xf numFmtId="37" fontId="28" fillId="3" borderId="0" xfId="0" applyNumberFormat="1" applyFont="1" applyFill="1"/>
    <xf numFmtId="0" fontId="6" fillId="3" borderId="0" xfId="2" applyFill="1"/>
    <xf numFmtId="170" fontId="26" fillId="3" borderId="0" xfId="0" applyNumberFormat="1" applyFont="1" applyFill="1"/>
    <xf numFmtId="39" fontId="26" fillId="3" borderId="0" xfId="0" applyNumberFormat="1" applyFont="1" applyFill="1"/>
    <xf numFmtId="0" fontId="29" fillId="3" borderId="0" xfId="0" applyFont="1" applyFill="1"/>
    <xf numFmtId="171" fontId="8" fillId="3" borderId="0" xfId="0" applyNumberFormat="1" applyFont="1" applyFill="1"/>
    <xf numFmtId="170" fontId="13" fillId="3" borderId="0" xfId="0" applyNumberFormat="1" applyFont="1" applyFill="1"/>
    <xf numFmtId="170" fontId="11" fillId="3" borderId="0" xfId="0" applyNumberFormat="1" applyFont="1" applyFill="1"/>
    <xf numFmtId="0" fontId="23" fillId="3" borderId="0" xfId="0" applyFont="1" applyFill="1"/>
    <xf numFmtId="0" fontId="3" fillId="3" borderId="0" xfId="0" applyFont="1" applyFill="1"/>
    <xf numFmtId="0" fontId="2" fillId="3" borderId="0" xfId="0" applyFont="1" applyFill="1"/>
    <xf numFmtId="37" fontId="29" fillId="3" borderId="0" xfId="0" applyNumberFormat="1" applyFont="1" applyFill="1"/>
    <xf numFmtId="37" fontId="11" fillId="3" borderId="0" xfId="0" applyNumberFormat="1" applyFont="1" applyFill="1"/>
    <xf numFmtId="166" fontId="18" fillId="3" borderId="0" xfId="4" applyNumberFormat="1" applyFont="1" applyFill="1"/>
    <xf numFmtId="166" fontId="13" fillId="3" borderId="0" xfId="4" applyNumberFormat="1" applyFont="1" applyFill="1"/>
    <xf numFmtId="0" fontId="28" fillId="3" borderId="0" xfId="0" applyFont="1" applyFill="1"/>
    <xf numFmtId="0" fontId="31" fillId="3" borderId="0" xfId="0" applyFont="1" applyFill="1"/>
    <xf numFmtId="166" fontId="16" fillId="3" borderId="0" xfId="0" applyNumberFormat="1" applyFont="1" applyFill="1"/>
    <xf numFmtId="0" fontId="32" fillId="3" borderId="0" xfId="0" applyFont="1" applyFill="1" applyAlignment="1">
      <alignment vertical="top"/>
    </xf>
    <xf numFmtId="0" fontId="2" fillId="7" borderId="0" xfId="0" applyFont="1" applyFill="1"/>
    <xf numFmtId="165" fontId="12" fillId="4" borderId="0" xfId="0" applyNumberFormat="1" applyFont="1" applyFill="1" applyBorder="1" applyAlignment="1">
      <alignment horizontal="right"/>
    </xf>
    <xf numFmtId="0" fontId="0" fillId="3" borderId="0" xfId="0" applyFill="1"/>
    <xf numFmtId="0" fontId="22" fillId="3" borderId="0" xfId="0" applyFont="1" applyFill="1"/>
    <xf numFmtId="164" fontId="0" fillId="3" borderId="0" xfId="0" applyNumberFormat="1" applyFill="1" applyAlignment="1">
      <alignment horizontal="center"/>
    </xf>
    <xf numFmtId="0" fontId="0" fillId="7" borderId="0" xfId="0" applyFill="1"/>
    <xf numFmtId="0" fontId="7" fillId="7" borderId="0" xfId="0" applyFont="1" applyFill="1"/>
    <xf numFmtId="0" fontId="8" fillId="3" borderId="0" xfId="0" applyNumberFormat="1" applyFont="1" applyFill="1"/>
    <xf numFmtId="9" fontId="8" fillId="3" borderId="0" xfId="4" applyFont="1" applyFill="1"/>
    <xf numFmtId="170" fontId="23" fillId="3" borderId="0" xfId="0" applyNumberFormat="1" applyFont="1" applyFill="1"/>
    <xf numFmtId="0" fontId="13" fillId="3" borderId="0" xfId="0" applyNumberFormat="1" applyFont="1" applyFill="1"/>
    <xf numFmtId="166" fontId="14" fillId="4" borderId="0" xfId="4" applyNumberFormat="1" applyFont="1" applyFill="1" applyAlignment="1">
      <alignment horizontal="right"/>
    </xf>
    <xf numFmtId="166" fontId="8" fillId="3" borderId="0" xfId="4" applyNumberFormat="1" applyFont="1" applyFill="1"/>
    <xf numFmtId="169" fontId="13" fillId="3" borderId="0" xfId="0" applyNumberFormat="1" applyFont="1" applyFill="1"/>
    <xf numFmtId="39" fontId="8" fillId="3" borderId="0" xfId="0" applyNumberFormat="1" applyFont="1" applyFill="1"/>
    <xf numFmtId="172" fontId="13" fillId="3" borderId="0" xfId="0" applyNumberFormat="1" applyFont="1" applyFill="1"/>
    <xf numFmtId="2" fontId="13" fillId="3" borderId="0" xfId="0" applyNumberFormat="1" applyFont="1" applyFill="1"/>
    <xf numFmtId="2" fontId="16" fillId="3" borderId="0" xfId="0" applyNumberFormat="1" applyFont="1" applyFill="1"/>
    <xf numFmtId="3" fontId="13" fillId="3" borderId="0" xfId="0" applyNumberFormat="1" applyFont="1" applyFill="1"/>
    <xf numFmtId="0" fontId="6" fillId="3" borderId="0" xfId="2" applyFill="1" applyBorder="1"/>
    <xf numFmtId="0" fontId="7" fillId="2" borderId="0" xfId="0" applyFont="1" applyFill="1" applyAlignment="1">
      <alignment horizontal="center"/>
    </xf>
    <xf numFmtId="3" fontId="16" fillId="3" borderId="0" xfId="0" applyNumberFormat="1" applyFont="1" applyFill="1"/>
    <xf numFmtId="0" fontId="8" fillId="3" borderId="0" xfId="4" applyNumberFormat="1" applyFont="1" applyFill="1"/>
    <xf numFmtId="0" fontId="11" fillId="3" borderId="0" xfId="0" applyFont="1" applyFill="1" applyAlignment="1">
      <alignment horizontal="right"/>
    </xf>
    <xf numFmtId="165" fontId="8" fillId="3" borderId="0" xfId="0" applyNumberFormat="1" applyFont="1" applyFill="1" applyAlignment="1">
      <alignment horizontal="center"/>
    </xf>
    <xf numFmtId="173" fontId="8" fillId="3" borderId="0" xfId="0" applyNumberFormat="1" applyFont="1" applyFill="1"/>
    <xf numFmtId="9" fontId="13" fillId="3" borderId="0" xfId="4" applyFont="1" applyFill="1"/>
    <xf numFmtId="0" fontId="30" fillId="3" borderId="0" xfId="0" applyFont="1" applyFill="1"/>
    <xf numFmtId="9" fontId="11" fillId="3" borderId="0" xfId="0" applyNumberFormat="1" applyFont="1" applyFill="1"/>
    <xf numFmtId="165" fontId="12" fillId="3" borderId="0" xfId="0" applyNumberFormat="1" applyFont="1" applyFill="1"/>
    <xf numFmtId="165" fontId="12" fillId="3" borderId="0" xfId="0" applyNumberFormat="1" applyFont="1" applyFill="1" applyBorder="1"/>
    <xf numFmtId="165" fontId="11" fillId="3" borderId="0" xfId="0" applyNumberFormat="1" applyFont="1" applyFill="1" applyBorder="1"/>
    <xf numFmtId="0" fontId="8" fillId="3" borderId="0" xfId="0" applyFont="1" applyFill="1" applyBorder="1"/>
    <xf numFmtId="166" fontId="35" fillId="3" borderId="0" xfId="0" applyNumberFormat="1" applyFont="1" applyFill="1"/>
    <xf numFmtId="174" fontId="13" fillId="3" borderId="0" xfId="0" applyNumberFormat="1" applyFont="1" applyFill="1"/>
    <xf numFmtId="174" fontId="8" fillId="3" borderId="0" xfId="0" applyNumberFormat="1" applyFont="1" applyFill="1"/>
    <xf numFmtId="174" fontId="11" fillId="3" borderId="0" xfId="0" applyNumberFormat="1" applyFont="1" applyFill="1"/>
    <xf numFmtId="0" fontId="13" fillId="3" borderId="0" xfId="0" applyFont="1" applyFill="1" applyAlignment="1"/>
    <xf numFmtId="165" fontId="17" fillId="3" borderId="0" xfId="0" applyNumberFormat="1" applyFont="1" applyFill="1" applyAlignment="1">
      <alignment horizontal="right"/>
    </xf>
    <xf numFmtId="0" fontId="13" fillId="3" borderId="0" xfId="4" applyNumberFormat="1" applyFont="1" applyFill="1"/>
    <xf numFmtId="165" fontId="36" fillId="3" borderId="0" xfId="0" applyNumberFormat="1" applyFont="1" applyFill="1" applyAlignment="1">
      <alignment horizontal="right"/>
    </xf>
    <xf numFmtId="165" fontId="16" fillId="3" borderId="0" xfId="0" applyNumberFormat="1" applyFont="1" applyFill="1" applyAlignment="1">
      <alignment horizontal="right"/>
    </xf>
    <xf numFmtId="0" fontId="8" fillId="0" borderId="0" xfId="0" applyFont="1" applyAlignment="1">
      <alignment horizontal="left" vertical="center" indent="1"/>
    </xf>
    <xf numFmtId="167" fontId="35" fillId="3" borderId="0" xfId="0" applyNumberFormat="1" applyFont="1" applyFill="1" applyAlignment="1">
      <alignment horizontal="right"/>
    </xf>
    <xf numFmtId="167" fontId="35" fillId="0" borderId="0" xfId="0" applyNumberFormat="1" applyFont="1" applyFill="1" applyAlignment="1">
      <alignment horizontal="right"/>
    </xf>
  </cellXfs>
  <cellStyles count="7">
    <cellStyle name="Comma 2 2 2" xfId="5" xr:uid="{00000000-0005-0000-0000-000000000000}"/>
    <cellStyle name="Comma 2 2 6" xfId="6" xr:uid="{0D42A9D1-9094-47CD-862B-3CC4FBDAC1E9}"/>
    <cellStyle name="Hyperlink" xfId="2" builtinId="8"/>
    <cellStyle name="Normal" xfId="0" builtinId="0"/>
    <cellStyle name="Normal 2 2 2" xfId="3" xr:uid="{00000000-0005-0000-0000-000003000000}"/>
    <cellStyle name="Normal 21" xfId="1" xr:uid="{00000000-0005-0000-0000-000004000000}"/>
    <cellStyle name="Percent" xfId="4" builtinId="5"/>
  </cellStyles>
  <dxfs count="430">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colors>
    <mruColors>
      <color rgb="FF0000FF"/>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calcChain" Target="calcChain.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theme" Target="theme/theme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14</xdr:row>
      <xdr:rowOff>47625</xdr:rowOff>
    </xdr:from>
    <xdr:to>
      <xdr:col>28</xdr:col>
      <xdr:colOff>8762</xdr:colOff>
      <xdr:row>49</xdr:row>
      <xdr:rowOff>37393</xdr:rowOff>
    </xdr:to>
    <xdr:pic>
      <xdr:nvPicPr>
        <xdr:cNvPr id="2" name="Picture 1">
          <a:extLst>
            <a:ext uri="{FF2B5EF4-FFF2-40B4-BE49-F238E27FC236}">
              <a16:creationId xmlns:a16="http://schemas.microsoft.com/office/drawing/2014/main" id="{AD0AA75D-81A8-4FF1-8D28-48FAFCCB80D6}"/>
            </a:ext>
          </a:extLst>
        </xdr:cNvPr>
        <xdr:cNvPicPr>
          <a:picLocks noChangeAspect="1"/>
        </xdr:cNvPicPr>
      </xdr:nvPicPr>
      <xdr:blipFill>
        <a:blip xmlns:r="http://schemas.openxmlformats.org/officeDocument/2006/relationships" r:embed="rId1"/>
        <a:stretch>
          <a:fillRect/>
        </a:stretch>
      </xdr:blipFill>
      <xdr:spPr>
        <a:xfrm>
          <a:off x="8953500" y="2314575"/>
          <a:ext cx="6104762" cy="56571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investors.tiautomotive.com/reports-and-presentations/2018"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36.xml"/><Relationship Id="rId2" Type="http://schemas.openxmlformats.org/officeDocument/2006/relationships/vmlDrawing" Target="../drawings/vmlDrawing36.v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7.v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38.v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3" Type="http://schemas.openxmlformats.org/officeDocument/2006/relationships/comments" Target="../comments39.xml"/><Relationship Id="rId2" Type="http://schemas.openxmlformats.org/officeDocument/2006/relationships/vmlDrawing" Target="../drawings/vmlDrawing39.v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3" Type="http://schemas.openxmlformats.org/officeDocument/2006/relationships/comments" Target="../comments40.xml"/><Relationship Id="rId2" Type="http://schemas.openxmlformats.org/officeDocument/2006/relationships/vmlDrawing" Target="../drawings/vmlDrawing40.v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3" Type="http://schemas.openxmlformats.org/officeDocument/2006/relationships/comments" Target="../comments41.xml"/><Relationship Id="rId2" Type="http://schemas.openxmlformats.org/officeDocument/2006/relationships/vmlDrawing" Target="../drawings/vmlDrawing41.v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3" Type="http://schemas.openxmlformats.org/officeDocument/2006/relationships/comments" Target="../comments42.xml"/><Relationship Id="rId2" Type="http://schemas.openxmlformats.org/officeDocument/2006/relationships/vmlDrawing" Target="../drawings/vmlDrawing42.v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3" Type="http://schemas.openxmlformats.org/officeDocument/2006/relationships/comments" Target="../comments43.xml"/><Relationship Id="rId2" Type="http://schemas.openxmlformats.org/officeDocument/2006/relationships/vmlDrawing" Target="../drawings/vmlDrawing43.v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3" Type="http://schemas.openxmlformats.org/officeDocument/2006/relationships/comments" Target="../comments44.xml"/><Relationship Id="rId2" Type="http://schemas.openxmlformats.org/officeDocument/2006/relationships/vmlDrawing" Target="../drawings/vmlDrawing44.v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3" Type="http://schemas.openxmlformats.org/officeDocument/2006/relationships/comments" Target="../comments45.xml"/><Relationship Id="rId2" Type="http://schemas.openxmlformats.org/officeDocument/2006/relationships/vmlDrawing" Target="../drawings/vmlDrawing45.v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3" Type="http://schemas.openxmlformats.org/officeDocument/2006/relationships/comments" Target="../comments46.xml"/><Relationship Id="rId2" Type="http://schemas.openxmlformats.org/officeDocument/2006/relationships/vmlDrawing" Target="../drawings/vmlDrawing46.v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3" Type="http://schemas.openxmlformats.org/officeDocument/2006/relationships/comments" Target="../comments47.xml"/><Relationship Id="rId2" Type="http://schemas.openxmlformats.org/officeDocument/2006/relationships/vmlDrawing" Target="../drawings/vmlDrawing47.v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3" Type="http://schemas.openxmlformats.org/officeDocument/2006/relationships/comments" Target="../comments48.xml"/><Relationship Id="rId2" Type="http://schemas.openxmlformats.org/officeDocument/2006/relationships/vmlDrawing" Target="../drawings/vmlDrawing48.v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3" Type="http://schemas.openxmlformats.org/officeDocument/2006/relationships/comments" Target="../comments49.xml"/><Relationship Id="rId2" Type="http://schemas.openxmlformats.org/officeDocument/2006/relationships/vmlDrawing" Target="../drawings/vmlDrawing49.v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3" Type="http://schemas.openxmlformats.org/officeDocument/2006/relationships/comments" Target="../comments50.xml"/><Relationship Id="rId2" Type="http://schemas.openxmlformats.org/officeDocument/2006/relationships/vmlDrawing" Target="../drawings/vmlDrawing50.v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3" Type="http://schemas.openxmlformats.org/officeDocument/2006/relationships/vmlDrawing" Target="../drawings/vmlDrawing51.vml"/><Relationship Id="rId2" Type="http://schemas.openxmlformats.org/officeDocument/2006/relationships/printerSettings" Target="../printerSettings/printerSettings75.bin"/><Relationship Id="rId1" Type="http://schemas.openxmlformats.org/officeDocument/2006/relationships/hyperlink" Target="https://www.sec.gov/Archives/edgar/data/1735707/000119312518255570/d518068dex991.htm" TargetMode="External"/><Relationship Id="rId4" Type="http://schemas.openxmlformats.org/officeDocument/2006/relationships/comments" Target="../comments51.xml"/></Relationships>
</file>

<file path=xl/worksheets/_rels/sheet76.xml.rels><?xml version="1.0" encoding="UTF-8" standalone="yes"?>
<Relationships xmlns="http://schemas.openxmlformats.org/package/2006/relationships"><Relationship Id="rId3" Type="http://schemas.openxmlformats.org/officeDocument/2006/relationships/comments" Target="../comments52.xml"/><Relationship Id="rId2" Type="http://schemas.openxmlformats.org/officeDocument/2006/relationships/vmlDrawing" Target="../drawings/vmlDrawing52.v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3" Type="http://schemas.openxmlformats.org/officeDocument/2006/relationships/comments" Target="../comments53.xml"/><Relationship Id="rId2" Type="http://schemas.openxmlformats.org/officeDocument/2006/relationships/vmlDrawing" Target="../drawings/vmlDrawing53.v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3" Type="http://schemas.openxmlformats.org/officeDocument/2006/relationships/comments" Target="../comments54.xml"/><Relationship Id="rId2" Type="http://schemas.openxmlformats.org/officeDocument/2006/relationships/vmlDrawing" Target="../drawings/vmlDrawing54.v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3" Type="http://schemas.openxmlformats.org/officeDocument/2006/relationships/comments" Target="../comments55.xml"/><Relationship Id="rId2" Type="http://schemas.openxmlformats.org/officeDocument/2006/relationships/vmlDrawing" Target="../drawings/vmlDrawing55.v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3" Type="http://schemas.openxmlformats.org/officeDocument/2006/relationships/comments" Target="../comments56.xml"/><Relationship Id="rId2" Type="http://schemas.openxmlformats.org/officeDocument/2006/relationships/vmlDrawing" Target="../drawings/vmlDrawing56.v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3" Type="http://schemas.openxmlformats.org/officeDocument/2006/relationships/comments" Target="../comments57.xml"/><Relationship Id="rId2" Type="http://schemas.openxmlformats.org/officeDocument/2006/relationships/vmlDrawing" Target="../drawings/vmlDrawing57.v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3" Type="http://schemas.openxmlformats.org/officeDocument/2006/relationships/comments" Target="../comments58.xml"/><Relationship Id="rId2" Type="http://schemas.openxmlformats.org/officeDocument/2006/relationships/vmlDrawing" Target="../drawings/vmlDrawing58.v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3" Type="http://schemas.openxmlformats.org/officeDocument/2006/relationships/comments" Target="../comments59.xml"/><Relationship Id="rId2" Type="http://schemas.openxmlformats.org/officeDocument/2006/relationships/vmlDrawing" Target="../drawings/vmlDrawing59.v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3" Type="http://schemas.openxmlformats.org/officeDocument/2006/relationships/comments" Target="../comments60.xml"/><Relationship Id="rId2" Type="http://schemas.openxmlformats.org/officeDocument/2006/relationships/vmlDrawing" Target="../drawings/vmlDrawing60.v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3" Type="http://schemas.openxmlformats.org/officeDocument/2006/relationships/comments" Target="../comments61.xml"/><Relationship Id="rId2" Type="http://schemas.openxmlformats.org/officeDocument/2006/relationships/vmlDrawing" Target="../drawings/vmlDrawing61.v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3" Type="http://schemas.openxmlformats.org/officeDocument/2006/relationships/vmlDrawing" Target="../drawings/vmlDrawing62.vml"/><Relationship Id="rId2" Type="http://schemas.openxmlformats.org/officeDocument/2006/relationships/drawing" Target="../drawings/drawing1.xml"/><Relationship Id="rId1" Type="http://schemas.openxmlformats.org/officeDocument/2006/relationships/printerSettings" Target="../printerSettings/printerSettings86.bin"/><Relationship Id="rId4" Type="http://schemas.openxmlformats.org/officeDocument/2006/relationships/comments" Target="../comments62.xml"/></Relationships>
</file>

<file path=xl/worksheets/_rels/sheet87.xml.rels><?xml version="1.0" encoding="UTF-8" standalone="yes"?>
<Relationships xmlns="http://schemas.openxmlformats.org/package/2006/relationships"><Relationship Id="rId3" Type="http://schemas.openxmlformats.org/officeDocument/2006/relationships/comments" Target="../comments63.xml"/><Relationship Id="rId2" Type="http://schemas.openxmlformats.org/officeDocument/2006/relationships/vmlDrawing" Target="../drawings/vmlDrawing63.v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3" Type="http://schemas.openxmlformats.org/officeDocument/2006/relationships/comments" Target="../comments64.xml"/><Relationship Id="rId2" Type="http://schemas.openxmlformats.org/officeDocument/2006/relationships/vmlDrawing" Target="../drawings/vmlDrawing64.v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3" Type="http://schemas.openxmlformats.org/officeDocument/2006/relationships/comments" Target="../comments65.xml"/><Relationship Id="rId2" Type="http://schemas.openxmlformats.org/officeDocument/2006/relationships/vmlDrawing" Target="../drawings/vmlDrawing65.v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3" Type="http://schemas.openxmlformats.org/officeDocument/2006/relationships/comments" Target="../comments66.xml"/><Relationship Id="rId2" Type="http://schemas.openxmlformats.org/officeDocument/2006/relationships/vmlDrawing" Target="../drawings/vmlDrawing66.v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3" Type="http://schemas.openxmlformats.org/officeDocument/2006/relationships/comments" Target="../comments67.xml"/><Relationship Id="rId2" Type="http://schemas.openxmlformats.org/officeDocument/2006/relationships/vmlDrawing" Target="../drawings/vmlDrawing67.v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3" Type="http://schemas.openxmlformats.org/officeDocument/2006/relationships/comments" Target="../comments68.xml"/><Relationship Id="rId2" Type="http://schemas.openxmlformats.org/officeDocument/2006/relationships/vmlDrawing" Target="../drawings/vmlDrawing68.v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G1048239"/>
  <sheetViews>
    <sheetView showGridLines="0" zoomScale="85" zoomScaleNormal="85" workbookViewId="0">
      <pane xSplit="1" ySplit="2" topLeftCell="C59" activePane="bottomRight" state="frozen"/>
      <selection pane="topRight" activeCell="B1" sqref="B1"/>
      <selection pane="bottomLeft" activeCell="A61" sqref="A61"/>
      <selection pane="bottomRight" activeCell="D82" sqref="D82"/>
    </sheetView>
  </sheetViews>
  <sheetFormatPr defaultColWidth="9.109375" defaultRowHeight="14.4" outlineLevelCol="1"/>
  <cols>
    <col min="1" max="1" width="36.5546875" style="1" bestFit="1" customWidth="1"/>
    <col min="2" max="2" width="26" style="6" hidden="1" customWidth="1" outlineLevel="1"/>
    <col min="3" max="3" width="26.5546875" style="6" hidden="1" customWidth="1" outlineLevel="1"/>
    <col min="4" max="4" width="15.6640625" style="1" customWidth="1" collapsed="1"/>
    <col min="5" max="5" width="11.44140625" style="1" customWidth="1"/>
    <col min="6" max="6" width="16.6640625" style="1" hidden="1" customWidth="1" outlineLevel="1"/>
    <col min="7" max="7" width="30.6640625" style="1" hidden="1" customWidth="1" outlineLevel="1"/>
    <col min="8" max="8" width="30.6640625" style="1" customWidth="1" collapsed="1"/>
    <col min="9" max="9" width="30.6640625" style="1" customWidth="1"/>
    <col min="10" max="10" width="11.109375" style="1" customWidth="1"/>
    <col min="11" max="11" width="12.109375" style="62" hidden="1" customWidth="1" outlineLevel="1"/>
    <col min="12" max="12" width="12.109375" style="62" customWidth="1" collapsed="1"/>
    <col min="13" max="14" width="12.109375" style="62" customWidth="1"/>
    <col min="15" max="15" width="10.33203125" style="12" customWidth="1"/>
    <col min="16" max="16" width="79.109375" style="1" bestFit="1" customWidth="1"/>
    <col min="17" max="17" width="13.33203125" style="120" bestFit="1" customWidth="1"/>
    <col min="18" max="23" width="9.109375" style="1"/>
    <col min="24" max="24" width="9.5546875" style="1" bestFit="1" customWidth="1"/>
    <col min="25" max="26" width="9.5546875" style="1" customWidth="1"/>
    <col min="27" max="27" width="9.88671875" style="1" bestFit="1" customWidth="1"/>
    <col min="28" max="28" width="10.88671875" style="1" bestFit="1" customWidth="1"/>
    <col min="29" max="31" width="9.88671875" style="1" bestFit="1" customWidth="1"/>
    <col min="32" max="32" width="10.88671875" style="1" bestFit="1" customWidth="1"/>
    <col min="33" max="34" width="9.88671875" style="1" bestFit="1" customWidth="1"/>
    <col min="35" max="35" width="12.5546875" style="1" bestFit="1" customWidth="1"/>
    <col min="36" max="16384" width="9.109375" style="1"/>
  </cols>
  <sheetData>
    <row r="1" spans="1:33">
      <c r="A1" s="70"/>
      <c r="B1" s="81"/>
      <c r="C1" s="82" t="s">
        <v>162</v>
      </c>
      <c r="D1" s="72"/>
      <c r="E1" s="72" t="s">
        <v>169</v>
      </c>
      <c r="F1" s="72" t="s">
        <v>170</v>
      </c>
      <c r="G1" s="72"/>
      <c r="H1" s="72"/>
      <c r="I1" s="72" t="s">
        <v>349</v>
      </c>
      <c r="J1" s="71" t="s">
        <v>199</v>
      </c>
      <c r="K1" s="73"/>
      <c r="L1" s="73"/>
      <c r="M1" s="73"/>
      <c r="N1" s="73"/>
      <c r="O1" s="72" t="s">
        <v>348</v>
      </c>
      <c r="P1" s="74"/>
      <c r="Q1" s="74"/>
      <c r="Y1" s="2"/>
      <c r="Z1" s="2"/>
      <c r="AA1" s="2"/>
      <c r="AB1" s="2"/>
      <c r="AC1" s="2"/>
      <c r="AD1" s="2"/>
      <c r="AE1" s="2"/>
      <c r="AF1" s="2"/>
      <c r="AG1" s="2"/>
    </row>
    <row r="2" spans="1:33" s="4" customFormat="1" ht="27">
      <c r="A2" s="67" t="s">
        <v>1</v>
      </c>
      <c r="B2" s="68" t="s">
        <v>163</v>
      </c>
      <c r="C2" s="68" t="s">
        <v>164</v>
      </c>
      <c r="D2" s="68" t="s">
        <v>168</v>
      </c>
      <c r="E2" s="68" t="s">
        <v>47</v>
      </c>
      <c r="F2" s="68" t="s">
        <v>48</v>
      </c>
      <c r="G2" s="68" t="s">
        <v>171</v>
      </c>
      <c r="H2" s="68" t="s">
        <v>172</v>
      </c>
      <c r="I2" s="68" t="s">
        <v>347</v>
      </c>
      <c r="J2" s="68" t="s">
        <v>2</v>
      </c>
      <c r="K2" s="77" t="s">
        <v>86</v>
      </c>
      <c r="L2" s="77" t="s">
        <v>335</v>
      </c>
      <c r="M2" s="77" t="s">
        <v>336</v>
      </c>
      <c r="N2" s="77" t="s">
        <v>337</v>
      </c>
      <c r="O2" s="68" t="s">
        <v>0</v>
      </c>
      <c r="P2" s="69" t="s">
        <v>84</v>
      </c>
      <c r="Q2" s="69" t="s">
        <v>338</v>
      </c>
      <c r="T2" s="1"/>
      <c r="V2" s="1"/>
    </row>
    <row r="3" spans="1:33" hidden="1">
      <c r="A3" s="5" t="s">
        <v>5</v>
      </c>
      <c r="B3" s="6" t="s">
        <v>165</v>
      </c>
      <c r="C3" s="6" t="str">
        <f ca="1">INDIRECT("'"&amp;"Wand Intermediate"&amp;"'!"&amp;$C$1)</f>
        <v>ABRA/Wand Intermediate</v>
      </c>
      <c r="D3" s="6" t="s">
        <v>222</v>
      </c>
      <c r="E3" s="61">
        <f t="shared" ref="E3:E5" ca="1" si="0">IF(INDIRECT("'"&amp;B3&amp;"'!"&amp;$E$1)="","-",INDIRECT("'"&amp;B3&amp;"'!"&amp;$E$1))</f>
        <v>3</v>
      </c>
      <c r="F3" s="61" t="e">
        <f t="shared" ref="F3:F5" ca="1" si="1">IF(INDIRECT("'"&amp;B3&amp;"'!"&amp;$F$1)="","-",INDIRECT("'"&amp;B3&amp;"'!"&amp;$F$1))</f>
        <v>#N/A</v>
      </c>
      <c r="G3" s="1" t="s">
        <v>179</v>
      </c>
      <c r="H3" s="1" t="s">
        <v>189</v>
      </c>
      <c r="J3" s="7" t="str">
        <f t="shared" ref="J3:J5" ca="1" si="2">IF(INDIRECT("'"&amp;B3&amp;"'!"&amp;$J$1)="","-",INDIRECT("'"&amp;B3&amp;"'!"&amp;$J$1))</f>
        <v>Eric Im</v>
      </c>
      <c r="K3" s="62" t="s">
        <v>166</v>
      </c>
      <c r="O3" s="8" t="str">
        <f ca="1">IF(K3="done",INDIRECT("'"&amp;"Wand Intermediate"&amp;"'!"&amp;$O$1),"")</f>
        <v/>
      </c>
      <c r="P3" s="118" t="s">
        <v>308</v>
      </c>
      <c r="Q3" s="109"/>
    </row>
    <row r="4" spans="1:33" hidden="1">
      <c r="A4" s="5" t="s">
        <v>6</v>
      </c>
      <c r="B4" s="6" t="s">
        <v>6</v>
      </c>
      <c r="C4" s="6" t="str">
        <f t="shared" ref="C4:C5" ca="1" si="3">INDIRECT("'"&amp;$A4&amp;"'!"&amp;$C$1)</f>
        <v>Accudyne</v>
      </c>
      <c r="D4" s="6" t="s">
        <v>221</v>
      </c>
      <c r="E4" s="61">
        <f t="shared" ca="1" si="0"/>
        <v>3</v>
      </c>
      <c r="F4" s="61" t="e">
        <f t="shared" ca="1" si="1"/>
        <v>#N/A</v>
      </c>
      <c r="G4" s="1" t="s">
        <v>173</v>
      </c>
      <c r="H4" s="1" t="s">
        <v>174</v>
      </c>
      <c r="J4" s="7" t="str">
        <f t="shared" ca="1" si="2"/>
        <v>Eric Im</v>
      </c>
      <c r="K4" s="63" t="s">
        <v>166</v>
      </c>
      <c r="O4" s="8" t="str">
        <f t="shared" ref="O4:O5" ca="1" si="4">IF(K4="done",INDIRECT("'"&amp;A4&amp;"'!"&amp;$O$1),"")</f>
        <v/>
      </c>
    </row>
    <row r="5" spans="1:33" hidden="1">
      <c r="A5" s="59" t="s">
        <v>7</v>
      </c>
      <c r="B5" s="6" t="s">
        <v>7</v>
      </c>
      <c r="C5" s="6" t="str">
        <f t="shared" ca="1" si="3"/>
        <v>Aclara Technologies</v>
      </c>
      <c r="D5" s="6"/>
      <c r="E5" s="61" t="str">
        <f t="shared" ca="1" si="0"/>
        <v>-</v>
      </c>
      <c r="F5" s="61" t="e">
        <f t="shared" ca="1" si="1"/>
        <v>#N/A</v>
      </c>
      <c r="J5" s="7" t="str">
        <f t="shared" ca="1" si="2"/>
        <v>Eric Im</v>
      </c>
      <c r="K5" s="63" t="s">
        <v>166</v>
      </c>
      <c r="L5" s="63"/>
      <c r="M5" s="63"/>
      <c r="N5" s="63"/>
      <c r="O5" s="8" t="str">
        <f t="shared" ca="1" si="4"/>
        <v/>
      </c>
      <c r="P5" s="60"/>
      <c r="Q5" s="121"/>
    </row>
    <row r="6" spans="1:33">
      <c r="A6" s="80" t="s">
        <v>502</v>
      </c>
      <c r="B6" s="6" t="s">
        <v>502</v>
      </c>
      <c r="C6" s="108" t="str">
        <f ca="1">INDIRECT("'"&amp;$B6&amp;"'!"&amp;$C$1)</f>
        <v>Advanced Drainage Systems</v>
      </c>
      <c r="D6" s="109" t="s">
        <v>530</v>
      </c>
      <c r="E6" s="61">
        <f t="shared" ref="E6:E21" ca="1" si="5">IF(INDIRECT("'"&amp;B6&amp;"'!"&amp;$E$1)="","-",INDIRECT("'"&amp;B6&amp;"'!"&amp;$E$1))</f>
        <v>2</v>
      </c>
      <c r="F6" s="61" t="str">
        <f t="shared" ref="F6:F21" ca="1" si="6">IF(INDIRECT("'"&amp;B6&amp;"'!"&amp;$F$1)="","-",INDIRECT("'"&amp;B6&amp;"'!"&amp;$F$1))</f>
        <v>BARC</v>
      </c>
      <c r="G6" s="1" t="s">
        <v>207</v>
      </c>
      <c r="H6" s="1" t="s">
        <v>187</v>
      </c>
      <c r="I6" s="1" t="str">
        <f ca="1">IF(INDIRECT("'"&amp;B6&amp;"'!"&amp;$I$1)="","-",INDIRECT("'"&amp;B6&amp;"'!"&amp;$I$1))</f>
        <v>Public (ticker: WMS)</v>
      </c>
      <c r="J6" s="7" t="str">
        <f t="shared" ref="J6:J21" ca="1" si="7">IF(INDIRECT("'"&amp;B6&amp;"'!"&amp;$J$1)="","-",INDIRECT("'"&amp;B6&amp;"'!"&amp;$J$1))</f>
        <v>Eric Im</v>
      </c>
      <c r="K6" s="62" t="s">
        <v>86</v>
      </c>
      <c r="L6" s="12" t="s">
        <v>339</v>
      </c>
      <c r="M6" s="8">
        <v>44413</v>
      </c>
      <c r="N6" s="8">
        <v>44417</v>
      </c>
      <c r="O6" s="8">
        <f ca="1">IF(K6="done",INDIRECT("'"&amp;B6&amp;"'!"&amp;$O$1),"")</f>
        <v>44377</v>
      </c>
      <c r="P6" s="109" t="s">
        <v>684</v>
      </c>
    </row>
    <row r="7" spans="1:33" hidden="1">
      <c r="A7" s="100" t="s">
        <v>405</v>
      </c>
      <c r="B7" s="6" t="s">
        <v>405</v>
      </c>
      <c r="C7" s="6" t="str">
        <f t="shared" ref="C7:C19" ca="1" si="8">INDIRECT("'"&amp;$A7&amp;"'!"&amp;$C$1)</f>
        <v>Airxcel, Inc.</v>
      </c>
      <c r="E7" s="61" t="str">
        <f t="shared" ca="1" si="5"/>
        <v>-</v>
      </c>
      <c r="F7" s="61" t="str">
        <f t="shared" ca="1" si="6"/>
        <v>Jefferies Fin</v>
      </c>
      <c r="G7" s="1" t="s">
        <v>192</v>
      </c>
      <c r="H7" s="1" t="s">
        <v>189</v>
      </c>
      <c r="I7" s="1" t="str">
        <f ca="1">IF(INDIRECT("'"&amp;A7&amp;"'!"&amp;$I$1)="","-",INDIRECT("'"&amp;A7&amp;"'!"&amp;$I$1))</f>
        <v>L Catterton</v>
      </c>
      <c r="J7" s="7" t="str">
        <f t="shared" ca="1" si="7"/>
        <v>Eric Im</v>
      </c>
      <c r="K7" s="62" t="s">
        <v>166</v>
      </c>
      <c r="L7" s="12" t="s">
        <v>340</v>
      </c>
      <c r="M7" s="8">
        <v>43691</v>
      </c>
      <c r="N7" s="8">
        <v>43713</v>
      </c>
      <c r="O7" s="8" t="str">
        <f t="shared" ref="O7:O19" ca="1" si="9">IF(K7="done",INDIRECT("'"&amp;A7&amp;"'!"&amp;$O$1),"")</f>
        <v/>
      </c>
      <c r="P7" s="109" t="s">
        <v>494</v>
      </c>
      <c r="Q7" s="109"/>
    </row>
    <row r="8" spans="1:33" ht="15" hidden="1" customHeight="1">
      <c r="A8" s="59" t="s">
        <v>8</v>
      </c>
      <c r="B8" s="6" t="s">
        <v>8</v>
      </c>
      <c r="C8" s="6" t="str">
        <f t="shared" ca="1" si="8"/>
        <v>Allison Transmission</v>
      </c>
      <c r="D8" s="6"/>
      <c r="E8" s="61" t="str">
        <f t="shared" ca="1" si="5"/>
        <v>-</v>
      </c>
      <c r="F8" s="61" t="e">
        <f t="shared" ca="1" si="6"/>
        <v>#N/A</v>
      </c>
      <c r="J8" s="7" t="str">
        <f t="shared" ca="1" si="7"/>
        <v>Eric Im</v>
      </c>
      <c r="K8" s="63" t="s">
        <v>166</v>
      </c>
      <c r="L8" s="63"/>
      <c r="M8" s="8"/>
      <c r="N8" s="8"/>
      <c r="O8" s="8" t="str">
        <f t="shared" ca="1" si="9"/>
        <v/>
      </c>
      <c r="P8" s="60"/>
      <c r="Q8" s="121"/>
    </row>
    <row r="9" spans="1:33" hidden="1">
      <c r="A9" s="5" t="s">
        <v>251</v>
      </c>
      <c r="B9" s="6" t="s">
        <v>251</v>
      </c>
      <c r="C9" s="108" t="str">
        <f t="shared" ca="1" si="8"/>
        <v>Aleris International</v>
      </c>
      <c r="D9" s="1" t="s">
        <v>254</v>
      </c>
      <c r="E9" s="61" t="str">
        <f t="shared" ca="1" si="5"/>
        <v>-</v>
      </c>
      <c r="F9" s="61" t="str">
        <f t="shared" ca="1" si="6"/>
        <v>Deutsche Bank NY</v>
      </c>
      <c r="G9" s="1" t="s">
        <v>252</v>
      </c>
      <c r="H9" s="1" t="s">
        <v>252</v>
      </c>
      <c r="I9" s="1" t="str">
        <f ca="1">IF(INDIRECT("'"&amp;A9&amp;"'!"&amp;$I$1)="","-",INDIRECT("'"&amp;A9&amp;"'!"&amp;$I$1))</f>
        <v>Oaktree</v>
      </c>
      <c r="J9" s="7" t="str">
        <f t="shared" ca="1" si="7"/>
        <v>Eric Im</v>
      </c>
      <c r="K9" s="62" t="s">
        <v>166</v>
      </c>
      <c r="L9" s="12" t="s">
        <v>340</v>
      </c>
      <c r="M9" s="8">
        <v>43908</v>
      </c>
      <c r="N9" s="8">
        <v>43908</v>
      </c>
      <c r="O9" s="8" t="str">
        <f t="shared" ca="1" si="9"/>
        <v/>
      </c>
      <c r="P9" s="109" t="s">
        <v>545</v>
      </c>
      <c r="Q9" s="109" t="s">
        <v>411</v>
      </c>
    </row>
    <row r="10" spans="1:33">
      <c r="A10" s="10" t="s">
        <v>287</v>
      </c>
      <c r="B10" s="11" t="s">
        <v>287</v>
      </c>
      <c r="C10" s="6" t="str">
        <f t="shared" ca="1" si="8"/>
        <v>Altra Industrial Motion</v>
      </c>
      <c r="D10" s="109" t="s">
        <v>343</v>
      </c>
      <c r="E10" s="61">
        <f t="shared" ca="1" si="5"/>
        <v>3</v>
      </c>
      <c r="F10" s="61" t="str">
        <f t="shared" ca="1" si="6"/>
        <v>JP Morgan Chase</v>
      </c>
      <c r="G10" s="1" t="s">
        <v>173</v>
      </c>
      <c r="H10" s="1" t="s">
        <v>174</v>
      </c>
      <c r="I10" s="1" t="str">
        <f ca="1">IF(INDIRECT("'"&amp;A10&amp;"'!"&amp;$I$1)="","-",INDIRECT("'"&amp;A10&amp;"'!"&amp;$I$1))</f>
        <v>Public (ticker: AIMC)</v>
      </c>
      <c r="J10" s="7" t="str">
        <f t="shared" ca="1" si="7"/>
        <v>Eric Im</v>
      </c>
      <c r="K10" s="62" t="s">
        <v>86</v>
      </c>
      <c r="L10" s="12" t="s">
        <v>339</v>
      </c>
      <c r="M10" s="8">
        <v>44404</v>
      </c>
      <c r="N10" s="8">
        <v>44410</v>
      </c>
      <c r="O10" s="8">
        <f t="shared" ca="1" si="9"/>
        <v>44377</v>
      </c>
      <c r="P10" s="109" t="s">
        <v>682</v>
      </c>
      <c r="Q10" s="109"/>
    </row>
    <row r="11" spans="1:33" ht="15" customHeight="1">
      <c r="A11" s="5" t="s">
        <v>9</v>
      </c>
      <c r="B11" s="6" t="s">
        <v>9</v>
      </c>
      <c r="C11" s="108" t="str">
        <f t="shared" ca="1" si="8"/>
        <v>American Axle</v>
      </c>
      <c r="D11" s="108" t="s">
        <v>224</v>
      </c>
      <c r="E11" s="61">
        <f t="shared" ca="1" si="5"/>
        <v>2</v>
      </c>
      <c r="F11" s="61" t="str">
        <f t="shared" ca="1" si="6"/>
        <v>JP Morgan Chase</v>
      </c>
      <c r="G11" s="1" t="s">
        <v>192</v>
      </c>
      <c r="H11" s="1" t="s">
        <v>189</v>
      </c>
      <c r="I11" s="1" t="str">
        <f ca="1">IF(INDIRECT("'"&amp;A11&amp;"'!"&amp;$I$1)="","-",INDIRECT("'"&amp;A11&amp;"'!"&amp;$I$1))</f>
        <v>Public (ticker: AXL)</v>
      </c>
      <c r="J11" s="7" t="str">
        <f t="shared" ca="1" si="7"/>
        <v>Eric Im</v>
      </c>
      <c r="K11" s="62" t="s">
        <v>86</v>
      </c>
      <c r="L11" s="12" t="s">
        <v>340</v>
      </c>
      <c r="M11" s="8">
        <v>44407</v>
      </c>
      <c r="N11" s="8">
        <v>44426</v>
      </c>
      <c r="O11" s="8">
        <f t="shared" ca="1" si="9"/>
        <v>44377</v>
      </c>
      <c r="P11" s="109" t="s">
        <v>693</v>
      </c>
      <c r="Q11" s="108"/>
    </row>
    <row r="12" spans="1:33" hidden="1">
      <c r="A12" s="80" t="s">
        <v>508</v>
      </c>
      <c r="B12" s="6" t="s">
        <v>508</v>
      </c>
      <c r="C12" s="108" t="str">
        <f t="shared" ca="1" si="8"/>
        <v>American Tire Distributors</v>
      </c>
      <c r="D12" s="6" t="s">
        <v>222</v>
      </c>
      <c r="E12" s="61">
        <f t="shared" ca="1" si="5"/>
        <v>3</v>
      </c>
      <c r="F12" s="61" t="str">
        <f t="shared" ca="1" si="6"/>
        <v>Bank America NA</v>
      </c>
      <c r="G12" s="1" t="s">
        <v>179</v>
      </c>
      <c r="H12" s="1" t="s">
        <v>189</v>
      </c>
      <c r="I12" s="1" t="str">
        <f ca="1">IF(INDIRECT("'"&amp;A12&amp;"'!"&amp;$I$1)="","-",INDIRECT("'"&amp;A12&amp;"'!"&amp;$I$1))</f>
        <v>TPG / Ares</v>
      </c>
      <c r="J12" s="7" t="str">
        <f t="shared" ca="1" si="7"/>
        <v>Eric Im</v>
      </c>
      <c r="K12" s="62" t="s">
        <v>166</v>
      </c>
      <c r="L12" s="12" t="s">
        <v>340</v>
      </c>
      <c r="M12" s="8">
        <v>44147</v>
      </c>
      <c r="N12" s="8">
        <v>44166</v>
      </c>
      <c r="O12" s="8" t="str">
        <f t="shared" ca="1" si="9"/>
        <v/>
      </c>
      <c r="P12" s="108" t="s">
        <v>588</v>
      </c>
      <c r="Q12" s="109"/>
    </row>
    <row r="13" spans="1:33" hidden="1">
      <c r="A13" s="5" t="s">
        <v>11</v>
      </c>
      <c r="B13" s="6" t="s">
        <v>11</v>
      </c>
      <c r="C13" s="6" t="str">
        <f t="shared" ca="1" si="8"/>
        <v>Atotech</v>
      </c>
      <c r="D13" s="6" t="s">
        <v>222</v>
      </c>
      <c r="E13" s="61">
        <f t="shared" ca="1" si="5"/>
        <v>3</v>
      </c>
      <c r="F13" s="61" t="e">
        <f t="shared" ca="1" si="6"/>
        <v>#N/A</v>
      </c>
      <c r="G13" s="1" t="s">
        <v>178</v>
      </c>
      <c r="H13" s="1" t="s">
        <v>181</v>
      </c>
      <c r="J13" s="7" t="str">
        <f t="shared" ca="1" si="7"/>
        <v>Eric Im</v>
      </c>
      <c r="K13" s="63" t="s">
        <v>166</v>
      </c>
      <c r="M13" s="8"/>
      <c r="N13" s="8"/>
      <c r="O13" s="8" t="str">
        <f t="shared" ca="1" si="9"/>
        <v/>
      </c>
    </row>
    <row r="14" spans="1:33">
      <c r="A14" s="5" t="s">
        <v>503</v>
      </c>
      <c r="B14" s="6" t="s">
        <v>503</v>
      </c>
      <c r="C14" s="108" t="str">
        <f t="shared" ca="1" si="8"/>
        <v>APi Group</v>
      </c>
      <c r="D14" s="108" t="s">
        <v>576</v>
      </c>
      <c r="E14" s="61">
        <f t="shared" ca="1" si="5"/>
        <v>2</v>
      </c>
      <c r="F14" s="61" t="str">
        <f t="shared" ca="1" si="6"/>
        <v>Citi</v>
      </c>
      <c r="G14" s="1" t="s">
        <v>504</v>
      </c>
      <c r="H14" s="1" t="s">
        <v>187</v>
      </c>
      <c r="I14" s="1" t="str">
        <f ca="1">IF(INDIRECT("'"&amp;A14&amp;"'!"&amp;$I$1)="","-",INDIRECT("'"&amp;A14&amp;"'!"&amp;$I$1))</f>
        <v>Public (ticker: APG)</v>
      </c>
      <c r="J14" s="7" t="str">
        <f t="shared" ca="1" si="7"/>
        <v>Eric Im</v>
      </c>
      <c r="K14" s="62" t="s">
        <v>86</v>
      </c>
      <c r="L14" s="12" t="s">
        <v>339</v>
      </c>
      <c r="M14" s="8">
        <v>44419</v>
      </c>
      <c r="N14" s="8">
        <v>44420</v>
      </c>
      <c r="O14" s="8">
        <f t="shared" ca="1" si="9"/>
        <v>44377</v>
      </c>
      <c r="P14" s="108" t="s">
        <v>685</v>
      </c>
      <c r="Q14" s="109" t="s">
        <v>561</v>
      </c>
    </row>
    <row r="15" spans="1:33">
      <c r="A15" s="5" t="s">
        <v>572</v>
      </c>
      <c r="B15" s="6" t="s">
        <v>572</v>
      </c>
      <c r="C15" s="108" t="str">
        <f t="shared" ca="1" si="8"/>
        <v>Asplundh</v>
      </c>
      <c r="D15" s="109" t="s">
        <v>420</v>
      </c>
      <c r="E15" s="61">
        <f t="shared" ca="1" si="5"/>
        <v>2</v>
      </c>
      <c r="F15" s="61" t="str">
        <f t="shared" ca="1" si="6"/>
        <v>Wells Fargo</v>
      </c>
      <c r="G15" s="1" t="s">
        <v>182</v>
      </c>
      <c r="H15" s="1" t="s">
        <v>180</v>
      </c>
      <c r="I15" s="1" t="str">
        <f ca="1">IF(INDIRECT("'"&amp;A15&amp;"'!"&amp;$I$1)="","-",INDIRECT("'"&amp;A15&amp;"'!"&amp;$I$1))</f>
        <v>CVC/Family</v>
      </c>
      <c r="J15" s="7" t="str">
        <f t="shared" ca="1" si="7"/>
        <v>Eric Im</v>
      </c>
      <c r="K15" s="62" t="s">
        <v>86</v>
      </c>
      <c r="L15" s="12" t="s">
        <v>340</v>
      </c>
      <c r="M15" s="8">
        <v>44344</v>
      </c>
      <c r="N15" s="8">
        <v>44376</v>
      </c>
      <c r="O15" s="8">
        <f t="shared" ca="1" si="9"/>
        <v>44286</v>
      </c>
      <c r="P15" s="108" t="s">
        <v>620</v>
      </c>
    </row>
    <row r="16" spans="1:33" hidden="1">
      <c r="A16" s="59" t="s">
        <v>13</v>
      </c>
      <c r="B16" s="6" t="s">
        <v>13</v>
      </c>
      <c r="C16" s="6" t="str">
        <f t="shared" ca="1" si="8"/>
        <v>Birch Communications</v>
      </c>
      <c r="D16" s="6"/>
      <c r="E16" s="61" t="str">
        <f t="shared" ca="1" si="5"/>
        <v>-</v>
      </c>
      <c r="F16" s="61" t="e">
        <f t="shared" ca="1" si="6"/>
        <v>#N/A</v>
      </c>
      <c r="J16" s="7" t="str">
        <f t="shared" ca="1" si="7"/>
        <v>Eric Im</v>
      </c>
      <c r="K16" s="63" t="s">
        <v>166</v>
      </c>
      <c r="L16" s="63"/>
      <c r="M16" s="8"/>
      <c r="N16" s="8"/>
      <c r="O16" s="8" t="str">
        <f t="shared" ca="1" si="9"/>
        <v/>
      </c>
      <c r="P16" s="60"/>
      <c r="Q16" s="121"/>
    </row>
    <row r="17" spans="1:17">
      <c r="A17" s="5" t="s">
        <v>10</v>
      </c>
      <c r="B17" s="6" t="s">
        <v>10</v>
      </c>
      <c r="C17" s="108" t="str">
        <f t="shared" ca="1" si="8"/>
        <v>Astoria Energy</v>
      </c>
      <c r="D17" s="108" t="s">
        <v>223</v>
      </c>
      <c r="E17" s="61">
        <f t="shared" ca="1" si="5"/>
        <v>3</v>
      </c>
      <c r="F17" s="61" t="str">
        <f t="shared" ca="1" si="6"/>
        <v>Morgan Stan Sr</v>
      </c>
      <c r="G17" s="1" t="s">
        <v>186</v>
      </c>
      <c r="H17" s="1" t="s">
        <v>183</v>
      </c>
      <c r="I17" s="1" t="str">
        <f ca="1">IF(INDIRECT("'"&amp;A17&amp;"'!"&amp;$I$1)="","-",INDIRECT("'"&amp;A17&amp;"'!"&amp;$I$1))</f>
        <v>GDF Suez, Mitsui, JEMP Family/Harbert, Energy Investors Fund</v>
      </c>
      <c r="J17" s="7" t="str">
        <f t="shared" ca="1" si="7"/>
        <v>Daniel Marcel</v>
      </c>
      <c r="K17" s="62" t="s">
        <v>86</v>
      </c>
      <c r="L17" s="12" t="s">
        <v>340</v>
      </c>
      <c r="M17" s="8">
        <v>44344</v>
      </c>
      <c r="N17" s="8">
        <v>44371</v>
      </c>
      <c r="O17" s="8">
        <f t="shared" ca="1" si="9"/>
        <v>44286</v>
      </c>
      <c r="P17" s="108" t="s">
        <v>654</v>
      </c>
      <c r="Q17" s="109"/>
    </row>
    <row r="18" spans="1:17">
      <c r="A18" s="5" t="s">
        <v>681</v>
      </c>
      <c r="B18" s="1" t="s">
        <v>681</v>
      </c>
      <c r="C18" s="108" t="str">
        <f t="shared" ca="1" si="8"/>
        <v>Atlantic Aviation</v>
      </c>
      <c r="D18" s="109"/>
      <c r="E18" s="61">
        <f t="shared" ca="1" si="5"/>
        <v>3</v>
      </c>
      <c r="F18" s="61" t="str">
        <f t="shared" ca="1" si="6"/>
        <v>Jefferies</v>
      </c>
      <c r="G18" s="1" t="s">
        <v>636</v>
      </c>
      <c r="H18" s="1" t="s">
        <v>188</v>
      </c>
      <c r="I18" s="1" t="str">
        <f ca="1">IF(INDIRECT("'"&amp;A18&amp;"'!"&amp;$I$1)="","-",INDIRECT("'"&amp;A18&amp;"'!"&amp;$I$1))</f>
        <v>KKR</v>
      </c>
      <c r="J18" s="7" t="str">
        <f t="shared" ca="1" si="7"/>
        <v>Eric Im</v>
      </c>
      <c r="K18" s="62" t="s">
        <v>86</v>
      </c>
      <c r="L18" s="12" t="s">
        <v>340</v>
      </c>
      <c r="M18" s="8">
        <v>44384</v>
      </c>
      <c r="N18" s="8">
        <v>44399</v>
      </c>
      <c r="O18" s="8">
        <f t="shared" ca="1" si="9"/>
        <v>44316</v>
      </c>
      <c r="P18" s="108" t="s">
        <v>564</v>
      </c>
    </row>
    <row r="19" spans="1:17">
      <c r="A19" s="5" t="s">
        <v>12</v>
      </c>
      <c r="B19" s="6" t="s">
        <v>12</v>
      </c>
      <c r="C19" s="108" t="str">
        <f t="shared" ca="1" si="8"/>
        <v>Avolon</v>
      </c>
      <c r="D19" s="108" t="s">
        <v>223</v>
      </c>
      <c r="E19" s="61">
        <f t="shared" ca="1" si="5"/>
        <v>4</v>
      </c>
      <c r="F19" s="61" t="str">
        <f t="shared" ca="1" si="6"/>
        <v>Morgan Stan Sr</v>
      </c>
      <c r="G19" s="1" t="s">
        <v>185</v>
      </c>
      <c r="H19" s="1" t="s">
        <v>188</v>
      </c>
      <c r="I19" s="1" t="str">
        <f ca="1">IF(INDIRECT("'"&amp;A19&amp;"'!"&amp;$I$1)="","-",INDIRECT("'"&amp;A19&amp;"'!"&amp;$I$1))</f>
        <v>Bohai (subsidiary of HNA Group)</v>
      </c>
      <c r="J19" s="7" t="str">
        <f t="shared" ca="1" si="7"/>
        <v>Eric Im</v>
      </c>
      <c r="K19" s="62" t="s">
        <v>86</v>
      </c>
      <c r="L19" s="12" t="s">
        <v>339</v>
      </c>
      <c r="M19" s="8">
        <v>44315</v>
      </c>
      <c r="N19" s="8">
        <v>44319</v>
      </c>
      <c r="O19" s="8">
        <f t="shared" ca="1" si="9"/>
        <v>44377</v>
      </c>
      <c r="P19" s="109" t="s">
        <v>626</v>
      </c>
      <c r="Q19" s="109"/>
    </row>
    <row r="20" spans="1:17" ht="15" customHeight="1">
      <c r="A20" s="5" t="s">
        <v>255</v>
      </c>
      <c r="B20" s="6" t="s">
        <v>255</v>
      </c>
      <c r="C20" s="108" t="str">
        <f ca="1">INDIRECT("'"&amp;$B20&amp;"'!"&amp;$C$1)</f>
        <v>BBB Industries</v>
      </c>
      <c r="D20" s="108" t="s">
        <v>222</v>
      </c>
      <c r="E20" s="61" t="str">
        <f t="shared" ca="1" si="5"/>
        <v>-</v>
      </c>
      <c r="F20" s="61" t="str">
        <f t="shared" ca="1" si="6"/>
        <v>UBS AG/Stamford</v>
      </c>
      <c r="G20" s="1" t="s">
        <v>192</v>
      </c>
      <c r="H20" s="1" t="s">
        <v>189</v>
      </c>
      <c r="I20" s="1" t="str">
        <f ca="1">IF(INDIRECT("'"&amp;B20&amp;"'!"&amp;$I$1)="","-",INDIRECT("'"&amp;B20&amp;"'!"&amp;$I$1))</f>
        <v>Genstar</v>
      </c>
      <c r="J20" s="7" t="str">
        <f t="shared" ca="1" si="7"/>
        <v>Eric Im</v>
      </c>
      <c r="K20" s="62" t="s">
        <v>86</v>
      </c>
      <c r="L20" s="12" t="s">
        <v>339</v>
      </c>
      <c r="M20" s="8">
        <v>44421</v>
      </c>
      <c r="N20" s="8">
        <v>44425</v>
      </c>
      <c r="O20" s="8">
        <f ca="1">IF(K20="done",INDIRECT("'"&amp;B20&amp;"'!"&amp;$O$1),"")</f>
        <v>44377</v>
      </c>
      <c r="P20" s="109" t="s">
        <v>691</v>
      </c>
      <c r="Q20" s="109"/>
    </row>
    <row r="21" spans="1:17">
      <c r="A21" s="80" t="s">
        <v>489</v>
      </c>
      <c r="B21" s="6" t="s">
        <v>489</v>
      </c>
      <c r="C21" s="108" t="str">
        <f ca="1">INDIRECT("'"&amp;$A21&amp;"'!"&amp;$C$1)</f>
        <v>Blackstone CQP Holdco</v>
      </c>
      <c r="D21" s="108" t="s">
        <v>524</v>
      </c>
      <c r="E21" s="61" t="str">
        <f t="shared" ca="1" si="5"/>
        <v>N/A</v>
      </c>
      <c r="F21" s="61" t="str">
        <f t="shared" ca="1" si="6"/>
        <v>Morgan Stanley</v>
      </c>
      <c r="G21" s="1" t="s">
        <v>193</v>
      </c>
      <c r="H21" s="1" t="s">
        <v>194</v>
      </c>
      <c r="I21" s="1" t="str">
        <f ca="1">IF(INDIRECT("'"&amp;A21&amp;"'!"&amp;$I$1)="","-",INDIRECT("'"&amp;A21&amp;"'!"&amp;$I$1))</f>
        <v>Blackstone (CQP)</v>
      </c>
      <c r="J21" s="7" t="str">
        <f t="shared" ca="1" si="7"/>
        <v>Daniel Marcel</v>
      </c>
      <c r="K21" s="62" t="s">
        <v>86</v>
      </c>
      <c r="L21" s="12" t="s">
        <v>340</v>
      </c>
      <c r="M21" s="8">
        <v>44337</v>
      </c>
      <c r="N21" s="8">
        <v>44346</v>
      </c>
      <c r="O21" s="8">
        <f ca="1">IF(K21="done",INDIRECT("'"&amp;A21&amp;"'!"&amp;$O$1),"")</f>
        <v>44286</v>
      </c>
      <c r="P21" s="109" t="s">
        <v>527</v>
      </c>
    </row>
    <row r="22" spans="1:17" hidden="1">
      <c r="A22" s="6"/>
      <c r="D22" s="6"/>
      <c r="E22" s="61"/>
      <c r="F22" s="61"/>
      <c r="J22" s="7"/>
      <c r="K22" s="62" t="s">
        <v>3</v>
      </c>
      <c r="M22" s="8"/>
      <c r="N22" s="8"/>
      <c r="O22" s="8" t="s">
        <v>3</v>
      </c>
    </row>
    <row r="23" spans="1:17" hidden="1">
      <c r="A23" s="6"/>
      <c r="D23" s="6"/>
      <c r="E23" s="6"/>
      <c r="F23" s="6"/>
      <c r="J23" s="7"/>
      <c r="K23" s="62" t="s">
        <v>3</v>
      </c>
      <c r="M23" s="8"/>
      <c r="N23" s="8"/>
      <c r="O23" s="8" t="s">
        <v>3</v>
      </c>
    </row>
    <row r="24" spans="1:17" ht="15" hidden="1" customHeight="1">
      <c r="A24" s="6"/>
      <c r="D24" s="6"/>
      <c r="E24" s="6"/>
      <c r="F24" s="6"/>
      <c r="J24" s="7"/>
      <c r="K24" s="62" t="s">
        <v>3</v>
      </c>
      <c r="M24" s="8"/>
      <c r="N24" s="8"/>
      <c r="O24" s="8" t="s">
        <v>3</v>
      </c>
    </row>
    <row r="25" spans="1:17">
      <c r="A25" s="80" t="s">
        <v>263</v>
      </c>
      <c r="B25" s="6" t="s">
        <v>263</v>
      </c>
      <c r="C25" s="108" t="str">
        <f t="shared" ref="C25:C35" ca="1" si="10">INDIRECT("'"&amp;$A25&amp;"'!"&amp;$C$1)</f>
        <v>Boyd Corporation</v>
      </c>
      <c r="D25" s="109" t="s">
        <v>420</v>
      </c>
      <c r="E25" s="61">
        <f t="shared" ref="E25:E35" ca="1" si="11">IF(INDIRECT("'"&amp;B25&amp;"'!"&amp;$E$1)="","-",INDIRECT("'"&amp;B25&amp;"'!"&amp;$E$1))</f>
        <v>3</v>
      </c>
      <c r="F25" s="61" t="str">
        <f t="shared" ref="F25:F35" ca="1" si="12">IF(INDIRECT("'"&amp;B25&amp;"'!"&amp;$F$1)="","-",INDIRECT("'"&amp;B25&amp;"'!"&amp;$F$1))</f>
        <v>Royal Bk Can(US)</v>
      </c>
      <c r="G25" s="1" t="s">
        <v>195</v>
      </c>
      <c r="H25" s="1" t="s">
        <v>174</v>
      </c>
      <c r="I25" s="1" t="str">
        <f ca="1">IF(INDIRECT("'"&amp;A25&amp;"'!"&amp;$I$1)="","-",INDIRECT("'"&amp;A25&amp;"'!"&amp;$I$1))</f>
        <v>GS Merchant Banking</v>
      </c>
      <c r="J25" s="7" t="str">
        <f t="shared" ref="J25:J35" ca="1" si="13">IF(INDIRECT("'"&amp;B25&amp;"'!"&amp;$J$1)="","-",INDIRECT("'"&amp;B25&amp;"'!"&amp;$J$1))</f>
        <v>Eric Im</v>
      </c>
      <c r="K25" s="62" t="s">
        <v>86</v>
      </c>
      <c r="L25" s="12" t="s">
        <v>339</v>
      </c>
      <c r="M25" s="8">
        <v>44433</v>
      </c>
      <c r="N25" s="8">
        <v>44438</v>
      </c>
      <c r="O25" s="8">
        <f t="shared" ref="O25:O35" ca="1" si="14">IF(K25="done",INDIRECT("'"&amp;A25&amp;"'!"&amp;$O$1),"")</f>
        <v>44377</v>
      </c>
      <c r="P25" s="109" t="s">
        <v>695</v>
      </c>
      <c r="Q25" s="109"/>
    </row>
    <row r="26" spans="1:17" ht="15" hidden="1" customHeight="1">
      <c r="A26" s="5" t="s">
        <v>16</v>
      </c>
      <c r="B26" s="6" t="s">
        <v>16</v>
      </c>
      <c r="C26" s="6" t="str">
        <f t="shared" ca="1" si="10"/>
        <v>Casella Waste</v>
      </c>
      <c r="D26" s="6" t="s">
        <v>226</v>
      </c>
      <c r="E26" s="61">
        <f t="shared" ca="1" si="11"/>
        <v>3</v>
      </c>
      <c r="F26" s="61" t="e">
        <f t="shared" ca="1" si="12"/>
        <v>#N/A</v>
      </c>
      <c r="G26" s="1" t="s">
        <v>177</v>
      </c>
      <c r="H26" s="1" t="s">
        <v>180</v>
      </c>
      <c r="J26" s="7" t="str">
        <f t="shared" ca="1" si="13"/>
        <v>Eric Im</v>
      </c>
      <c r="K26" s="63" t="s">
        <v>166</v>
      </c>
      <c r="L26" s="63"/>
      <c r="M26" s="8"/>
      <c r="N26" s="8"/>
      <c r="O26" s="8" t="str">
        <f t="shared" ca="1" si="14"/>
        <v/>
      </c>
    </row>
    <row r="27" spans="1:17">
      <c r="A27" s="5" t="s">
        <v>14</v>
      </c>
      <c r="B27" s="6" t="s">
        <v>14</v>
      </c>
      <c r="C27" s="108" t="str">
        <f t="shared" ca="1" si="10"/>
        <v>Brand Energy</v>
      </c>
      <c r="D27" s="108" t="s">
        <v>223</v>
      </c>
      <c r="E27" s="61">
        <f t="shared" ca="1" si="11"/>
        <v>3</v>
      </c>
      <c r="F27" s="61" t="str">
        <f t="shared" ca="1" si="12"/>
        <v>Goldman Sachs</v>
      </c>
      <c r="G27" s="1" t="s">
        <v>191</v>
      </c>
      <c r="H27" s="1" t="s">
        <v>187</v>
      </c>
      <c r="I27" s="1" t="str">
        <f ca="1">IF(INDIRECT("'"&amp;A27&amp;"'!"&amp;$I$1)="","-",INDIRECT("'"&amp;A27&amp;"'!"&amp;$I$1))</f>
        <v>CD&amp;R</v>
      </c>
      <c r="J27" s="7" t="str">
        <f t="shared" ca="1" si="13"/>
        <v>Eric Im</v>
      </c>
      <c r="K27" s="62" t="s">
        <v>86</v>
      </c>
      <c r="L27" s="12" t="s">
        <v>339</v>
      </c>
      <c r="M27" s="8">
        <v>44432</v>
      </c>
      <c r="N27" s="8">
        <v>44435</v>
      </c>
      <c r="O27" s="8">
        <f t="shared" ca="1" si="14"/>
        <v>44377</v>
      </c>
      <c r="P27" s="109" t="s">
        <v>686</v>
      </c>
      <c r="Q27" s="109"/>
    </row>
    <row r="28" spans="1:17">
      <c r="A28" s="10" t="s">
        <v>323</v>
      </c>
      <c r="B28" s="11" t="s">
        <v>323</v>
      </c>
      <c r="C28" s="6" t="str">
        <f t="shared" ca="1" si="10"/>
        <v>C&amp;D Technologies</v>
      </c>
      <c r="D28" s="109" t="s">
        <v>420</v>
      </c>
      <c r="E28" s="61">
        <f t="shared" ca="1" si="11"/>
        <v>3</v>
      </c>
      <c r="F28" s="61" t="str">
        <f t="shared" ca="1" si="12"/>
        <v>Bank of America</v>
      </c>
      <c r="G28" s="1" t="s">
        <v>195</v>
      </c>
      <c r="H28" s="1" t="s">
        <v>195</v>
      </c>
      <c r="I28" s="1" t="str">
        <f ca="1">IF(INDIRECT("'"&amp;A28&amp;"'!"&amp;$I$1)="","-",INDIRECT("'"&amp;A28&amp;"'!"&amp;$I$1))</f>
        <v>KPS Capital Partners</v>
      </c>
      <c r="J28" s="7" t="str">
        <f t="shared" ca="1" si="13"/>
        <v>Eric Im</v>
      </c>
      <c r="K28" s="62" t="s">
        <v>86</v>
      </c>
      <c r="L28" s="12" t="s">
        <v>340</v>
      </c>
      <c r="M28" s="8">
        <v>44328</v>
      </c>
      <c r="N28" s="8">
        <v>44374</v>
      </c>
      <c r="O28" s="8">
        <f t="shared" ca="1" si="14"/>
        <v>44286</v>
      </c>
      <c r="P28" s="109" t="s">
        <v>665</v>
      </c>
    </row>
    <row r="29" spans="1:17">
      <c r="A29" s="5" t="s">
        <v>640</v>
      </c>
      <c r="B29" s="1" t="s">
        <v>640</v>
      </c>
      <c r="C29" s="108" t="str">
        <f t="shared" ca="1" si="10"/>
        <v>Cabinetworks</v>
      </c>
      <c r="D29" s="109"/>
      <c r="E29" s="61">
        <f t="shared" ca="1" si="11"/>
        <v>3</v>
      </c>
      <c r="F29" s="61" t="str">
        <f t="shared" ca="1" si="12"/>
        <v>BAML</v>
      </c>
      <c r="G29" s="1" t="s">
        <v>563</v>
      </c>
      <c r="H29" s="1" t="s">
        <v>187</v>
      </c>
      <c r="I29" s="1" t="str">
        <f ca="1">IF(INDIRECT("'"&amp;A29&amp;"'!"&amp;$I$1)="","-",INDIRECT("'"&amp;A29&amp;"'!"&amp;$I$1))</f>
        <v>Platinum Equity</v>
      </c>
      <c r="J29" s="7" t="str">
        <f t="shared" ca="1" si="13"/>
        <v>Eric Im</v>
      </c>
      <c r="K29" s="62" t="s">
        <v>86</v>
      </c>
      <c r="L29" s="12" t="s">
        <v>340</v>
      </c>
      <c r="M29" s="8">
        <v>44350</v>
      </c>
      <c r="N29" s="8">
        <v>44350</v>
      </c>
      <c r="O29" s="8">
        <f t="shared" ca="1" si="14"/>
        <v>44286</v>
      </c>
      <c r="P29" s="108" t="s">
        <v>564</v>
      </c>
    </row>
    <row r="30" spans="1:17" ht="15" customHeight="1">
      <c r="A30" s="100" t="s">
        <v>332</v>
      </c>
      <c r="B30" s="6" t="s">
        <v>332</v>
      </c>
      <c r="C30" s="6" t="str">
        <f t="shared" ca="1" si="10"/>
        <v>Caliber Collision</v>
      </c>
      <c r="D30" s="109" t="s">
        <v>420</v>
      </c>
      <c r="E30" s="61">
        <f t="shared" ca="1" si="11"/>
        <v>3</v>
      </c>
      <c r="F30" s="61" t="str">
        <f t="shared" ca="1" si="12"/>
        <v>Bank America NA</v>
      </c>
      <c r="G30" s="1" t="s">
        <v>179</v>
      </c>
      <c r="H30" s="1" t="s">
        <v>189</v>
      </c>
      <c r="I30" s="1" t="str">
        <f ca="1">IF(INDIRECT("'"&amp;A30&amp;"'!"&amp;$I$1)="","-",INDIRECT("'"&amp;A30&amp;"'!"&amp;$I$1))</f>
        <v>Hellman &amp; Friedman, OMERS PE, Leonard Green and Management</v>
      </c>
      <c r="J30" s="7" t="str">
        <f t="shared" ca="1" si="13"/>
        <v>Eric Im</v>
      </c>
      <c r="K30" s="62" t="s">
        <v>86</v>
      </c>
      <c r="L30" s="12" t="s">
        <v>340</v>
      </c>
      <c r="M30" s="8">
        <v>44334</v>
      </c>
      <c r="N30" s="8">
        <v>44374</v>
      </c>
      <c r="O30" s="8">
        <f t="shared" ca="1" si="14"/>
        <v>44286</v>
      </c>
      <c r="P30" s="109" t="s">
        <v>666</v>
      </c>
    </row>
    <row r="31" spans="1:17" ht="15" hidden="1" customHeight="1">
      <c r="A31" s="5" t="s">
        <v>17</v>
      </c>
      <c r="B31" s="6" t="s">
        <v>17</v>
      </c>
      <c r="C31" s="108" t="str">
        <f t="shared" ca="1" si="10"/>
        <v>Dayton Power &amp; Light</v>
      </c>
      <c r="D31" s="6" t="s">
        <v>221</v>
      </c>
      <c r="E31" s="61">
        <f t="shared" ca="1" si="11"/>
        <v>1</v>
      </c>
      <c r="F31" s="138" t="e">
        <f t="shared" ca="1" si="12"/>
        <v>#N/A</v>
      </c>
      <c r="G31" s="1" t="s">
        <v>196</v>
      </c>
      <c r="H31" s="1" t="s">
        <v>183</v>
      </c>
      <c r="I31" s="1" t="str">
        <f ca="1">IF(INDIRECT("'"&amp;A31&amp;"'!"&amp;$I$1)="","-",INDIRECT("'"&amp;A31&amp;"'!"&amp;$I$1))</f>
        <v>Public: (Ticker: DPL)</v>
      </c>
      <c r="J31" s="7" t="str">
        <f t="shared" ca="1" si="13"/>
        <v>Eric Im</v>
      </c>
      <c r="K31" s="62" t="s">
        <v>166</v>
      </c>
      <c r="L31" s="12" t="s">
        <v>339</v>
      </c>
      <c r="M31" s="8">
        <v>43598</v>
      </c>
      <c r="N31" s="8">
        <v>43605</v>
      </c>
      <c r="O31" s="8" t="str">
        <f t="shared" ca="1" si="14"/>
        <v/>
      </c>
      <c r="P31" s="109" t="s">
        <v>431</v>
      </c>
      <c r="Q31" s="109"/>
    </row>
    <row r="32" spans="1:17" hidden="1">
      <c r="A32" s="5" t="s">
        <v>18</v>
      </c>
      <c r="B32" s="6" t="s">
        <v>18</v>
      </c>
      <c r="C32" s="6" t="str">
        <f t="shared" ca="1" si="10"/>
        <v>Dealer Tire</v>
      </c>
      <c r="D32" s="6" t="s">
        <v>221</v>
      </c>
      <c r="E32" s="61">
        <f t="shared" ca="1" si="11"/>
        <v>3</v>
      </c>
      <c r="F32" s="61" t="e">
        <f t="shared" ca="1" si="12"/>
        <v>#N/A</v>
      </c>
      <c r="G32" s="1" t="s">
        <v>179</v>
      </c>
      <c r="H32" s="1" t="s">
        <v>189</v>
      </c>
      <c r="J32" s="7" t="str">
        <f t="shared" ca="1" si="13"/>
        <v>Eric Im</v>
      </c>
      <c r="K32" s="63" t="s">
        <v>166</v>
      </c>
      <c r="L32" s="63"/>
      <c r="M32" s="8"/>
      <c r="N32" s="8"/>
      <c r="O32" s="8" t="str">
        <f t="shared" ca="1" si="14"/>
        <v/>
      </c>
    </row>
    <row r="33" spans="1:17">
      <c r="A33" s="5" t="s">
        <v>15</v>
      </c>
      <c r="B33" s="6" t="s">
        <v>15</v>
      </c>
      <c r="C33" s="108" t="str">
        <f t="shared" ca="1" si="10"/>
        <v>Calpine Corp</v>
      </c>
      <c r="D33" s="108" t="s">
        <v>225</v>
      </c>
      <c r="E33" s="61">
        <f t="shared" ca="1" si="11"/>
        <v>3</v>
      </c>
      <c r="F33" s="61" t="str">
        <f t="shared" ca="1" si="12"/>
        <v>Citibank NA; Morgan Stan Sr</v>
      </c>
      <c r="G33" s="1" t="s">
        <v>186</v>
      </c>
      <c r="H33" s="1" t="s">
        <v>183</v>
      </c>
      <c r="I33" s="1" t="str">
        <f ca="1">IF(INDIRECT("'"&amp;A33&amp;"'!"&amp;$I$1)="","-",INDIRECT("'"&amp;A33&amp;"'!"&amp;$I$1))</f>
        <v>Public (ticker: CPN)</v>
      </c>
      <c r="J33" s="7" t="str">
        <f t="shared" ca="1" si="13"/>
        <v>Daniel Marcel</v>
      </c>
      <c r="K33" s="62" t="s">
        <v>86</v>
      </c>
      <c r="L33" s="12" t="s">
        <v>340</v>
      </c>
      <c r="M33" s="8">
        <v>44260</v>
      </c>
      <c r="N33" s="8">
        <v>44280</v>
      </c>
      <c r="O33" s="8">
        <f t="shared" ca="1" si="14"/>
        <v>44196</v>
      </c>
      <c r="P33" s="109" t="s">
        <v>614</v>
      </c>
      <c r="Q33" s="108"/>
    </row>
    <row r="34" spans="1:17" hidden="1">
      <c r="A34" s="5" t="s">
        <v>19</v>
      </c>
      <c r="B34" s="6" t="s">
        <v>19</v>
      </c>
      <c r="C34" s="6" t="str">
        <f t="shared" ca="1" si="10"/>
        <v>Dixie</v>
      </c>
      <c r="D34" s="6"/>
      <c r="E34" s="61">
        <f t="shared" ca="1" si="11"/>
        <v>8</v>
      </c>
      <c r="F34" s="61" t="e">
        <f t="shared" ca="1" si="12"/>
        <v>#N/A</v>
      </c>
      <c r="G34" s="1" t="s">
        <v>191</v>
      </c>
      <c r="H34" s="1" t="s">
        <v>187</v>
      </c>
      <c r="J34" s="7" t="str">
        <f t="shared" ca="1" si="13"/>
        <v>Eric Im</v>
      </c>
      <c r="K34" s="63" t="s">
        <v>166</v>
      </c>
      <c r="M34" s="8"/>
      <c r="N34" s="8"/>
      <c r="O34" s="47" t="str">
        <f t="shared" ca="1" si="14"/>
        <v/>
      </c>
    </row>
    <row r="35" spans="1:17" hidden="1">
      <c r="A35" s="5" t="s">
        <v>20</v>
      </c>
      <c r="B35" s="6" t="s">
        <v>20</v>
      </c>
      <c r="C35" s="6" t="str">
        <f t="shared" ca="1" si="10"/>
        <v>Doncasters</v>
      </c>
      <c r="D35" s="6" t="s">
        <v>222</v>
      </c>
      <c r="E35" s="61">
        <f t="shared" ca="1" si="11"/>
        <v>4</v>
      </c>
      <c r="F35" s="61" t="e">
        <f t="shared" ca="1" si="12"/>
        <v>#N/A</v>
      </c>
      <c r="G35" s="1" t="s">
        <v>173</v>
      </c>
      <c r="H35" s="1" t="s">
        <v>174</v>
      </c>
      <c r="J35" s="7" t="str">
        <f t="shared" ca="1" si="13"/>
        <v>Eric Im</v>
      </c>
      <c r="K35" s="63" t="s">
        <v>166</v>
      </c>
      <c r="L35" s="63"/>
      <c r="M35" s="8"/>
      <c r="N35" s="8"/>
      <c r="O35" s="8" t="str">
        <f t="shared" ca="1" si="14"/>
        <v/>
      </c>
    </row>
    <row r="36" spans="1:17" hidden="1">
      <c r="A36" s="6" t="s">
        <v>20</v>
      </c>
      <c r="D36" s="6"/>
      <c r="E36" s="6"/>
      <c r="F36" s="6"/>
      <c r="J36" s="7"/>
      <c r="K36" s="62" t="s">
        <v>3</v>
      </c>
      <c r="M36" s="8"/>
      <c r="N36" s="8"/>
      <c r="O36" s="8" t="s">
        <v>3</v>
      </c>
    </row>
    <row r="37" spans="1:17" ht="15" customHeight="1">
      <c r="A37" s="5" t="s">
        <v>542</v>
      </c>
      <c r="B37" s="6" t="s">
        <v>542</v>
      </c>
      <c r="C37" s="108" t="str">
        <f t="shared" ref="C37:C44" ca="1" si="15">INDIRECT("'"&amp;$A37&amp;"'!"&amp;$C$1)</f>
        <v>Cobham</v>
      </c>
      <c r="D37" s="109" t="s">
        <v>420</v>
      </c>
      <c r="E37" s="61">
        <f t="shared" ref="E37:E48" ca="1" si="16">IF(INDIRECT("'"&amp;B37&amp;"'!"&amp;$E$1)="","-",INDIRECT("'"&amp;B37&amp;"'!"&amp;$E$1))</f>
        <v>3</v>
      </c>
      <c r="F37" s="61" t="str">
        <f t="shared" ref="F37:F48" ca="1" si="17">IF(INDIRECT("'"&amp;B37&amp;"'!"&amp;$F$1)="","-",INDIRECT("'"&amp;B37&amp;"'!"&amp;$F$1))</f>
        <v>GS</v>
      </c>
      <c r="G37" s="1" t="s">
        <v>188</v>
      </c>
      <c r="H37" s="1" t="s">
        <v>188</v>
      </c>
      <c r="I37" s="1" t="str">
        <f ca="1">IF(INDIRECT("'"&amp;A37&amp;"'!"&amp;$I$1)="","-",INDIRECT("'"&amp;A37&amp;"'!"&amp;$I$1))</f>
        <v>Advent</v>
      </c>
      <c r="J37" s="7" t="str">
        <f t="shared" ref="J37:J48" ca="1" si="18">IF(INDIRECT("'"&amp;B37&amp;"'!"&amp;$J$1)="","-",INDIRECT("'"&amp;B37&amp;"'!"&amp;$J$1))</f>
        <v>Eric Im</v>
      </c>
      <c r="K37" s="62" t="s">
        <v>86</v>
      </c>
      <c r="L37" s="12" t="s">
        <v>340</v>
      </c>
      <c r="M37" s="8">
        <v>44348</v>
      </c>
      <c r="N37" s="8">
        <v>44375</v>
      </c>
      <c r="O37" s="8">
        <f t="shared" ref="O37:O44" ca="1" si="19">IF(K37="done",INDIRECT("'"&amp;A37&amp;"'!"&amp;$O$1),"")</f>
        <v>44286</v>
      </c>
      <c r="P37" s="108" t="s">
        <v>671</v>
      </c>
    </row>
    <row r="38" spans="1:17" ht="15" customHeight="1">
      <c r="A38" s="80" t="s">
        <v>509</v>
      </c>
      <c r="B38" s="6" t="s">
        <v>509</v>
      </c>
      <c r="C38" s="108" t="str">
        <f t="shared" ca="1" si="15"/>
        <v>Columbus Mckinnon</v>
      </c>
      <c r="D38" s="108" t="s">
        <v>227</v>
      </c>
      <c r="E38" s="61">
        <f t="shared" ca="1" si="16"/>
        <v>3</v>
      </c>
      <c r="F38" s="61" t="str">
        <f t="shared" ca="1" si="17"/>
        <v>JP Morgan Chase</v>
      </c>
      <c r="G38" s="1" t="s">
        <v>173</v>
      </c>
      <c r="H38" s="1" t="s">
        <v>174</v>
      </c>
      <c r="I38" s="1" t="str">
        <f ca="1">IF(INDIRECT("'"&amp;A38&amp;"'!"&amp;$I$1)="","-",INDIRECT("'"&amp;A38&amp;"'!"&amp;$I$1))</f>
        <v>Public (ticker: CMCO)</v>
      </c>
      <c r="J38" s="7" t="str">
        <f t="shared" ca="1" si="18"/>
        <v>Eric Im</v>
      </c>
      <c r="K38" s="62" t="s">
        <v>86</v>
      </c>
      <c r="L38" s="12" t="s">
        <v>340</v>
      </c>
      <c r="M38" s="8">
        <v>44224</v>
      </c>
      <c r="N38" s="8">
        <v>44239</v>
      </c>
      <c r="O38" s="8">
        <f t="shared" ca="1" si="19"/>
        <v>44286</v>
      </c>
      <c r="P38" s="109" t="s">
        <v>608</v>
      </c>
      <c r="Q38" s="108"/>
    </row>
    <row r="39" spans="1:17">
      <c r="A39" s="80" t="s">
        <v>510</v>
      </c>
      <c r="B39" s="6" t="s">
        <v>510</v>
      </c>
      <c r="C39" s="108" t="str">
        <f t="shared" ca="1" si="15"/>
        <v>CPM Acquisition</v>
      </c>
      <c r="D39" s="108" t="s">
        <v>223</v>
      </c>
      <c r="E39" s="61">
        <f t="shared" ca="1" si="16"/>
        <v>3</v>
      </c>
      <c r="F39" s="61" t="str">
        <f t="shared" ca="1" si="17"/>
        <v>BMO Capital Mkts</v>
      </c>
      <c r="G39" s="1" t="s">
        <v>173</v>
      </c>
      <c r="H39" s="1" t="s">
        <v>174</v>
      </c>
      <c r="I39" s="1" t="str">
        <f ca="1">IF(INDIRECT("'"&amp;A39&amp;"'!"&amp;$I$1)="","-",INDIRECT("'"&amp;A39&amp;"'!"&amp;$I$1))</f>
        <v xml:space="preserve">American Securities </v>
      </c>
      <c r="J39" s="7" t="str">
        <f t="shared" ca="1" si="18"/>
        <v>Eric Im</v>
      </c>
      <c r="K39" s="62" t="s">
        <v>86</v>
      </c>
      <c r="L39" s="12" t="s">
        <v>340</v>
      </c>
      <c r="M39" s="8">
        <v>44333</v>
      </c>
      <c r="N39" s="8">
        <v>44370</v>
      </c>
      <c r="O39" s="8">
        <f t="shared" ca="1" si="19"/>
        <v>44286</v>
      </c>
      <c r="P39" s="108" t="s">
        <v>651</v>
      </c>
      <c r="Q39" s="109"/>
    </row>
    <row r="40" spans="1:17">
      <c r="A40" s="80" t="s">
        <v>511</v>
      </c>
      <c r="B40" s="6" t="s">
        <v>511</v>
      </c>
      <c r="C40" s="108" t="str">
        <f t="shared" ca="1" si="15"/>
        <v>Crosby</v>
      </c>
      <c r="D40" s="109" t="s">
        <v>420</v>
      </c>
      <c r="E40" s="61">
        <f t="shared" ca="1" si="16"/>
        <v>4</v>
      </c>
      <c r="F40" s="61" t="str">
        <f t="shared" ca="1" si="17"/>
        <v>UBS Securities</v>
      </c>
      <c r="G40" s="1" t="s">
        <v>173</v>
      </c>
      <c r="H40" s="1" t="s">
        <v>174</v>
      </c>
      <c r="I40" s="1" t="str">
        <f ca="1">IF(INDIRECT("'"&amp;A40&amp;"'!"&amp;$I$1)="","-",INDIRECT("'"&amp;A40&amp;"'!"&amp;$I$1))</f>
        <v>KKR</v>
      </c>
      <c r="J40" s="7" t="str">
        <f t="shared" ca="1" si="18"/>
        <v>Eric Im</v>
      </c>
      <c r="K40" s="62" t="s">
        <v>86</v>
      </c>
      <c r="L40" s="12" t="s">
        <v>340</v>
      </c>
      <c r="M40" s="8">
        <v>44343</v>
      </c>
      <c r="N40" s="8">
        <v>44375</v>
      </c>
      <c r="O40" s="8">
        <f t="shared" ca="1" si="19"/>
        <v>44286</v>
      </c>
      <c r="P40" s="109" t="s">
        <v>667</v>
      </c>
      <c r="Q40" s="109"/>
    </row>
    <row r="41" spans="1:17">
      <c r="A41" s="100" t="s">
        <v>406</v>
      </c>
      <c r="B41" s="6" t="s">
        <v>406</v>
      </c>
      <c r="C41" s="108" t="str">
        <f t="shared" ca="1" si="15"/>
        <v>Culligan</v>
      </c>
      <c r="D41" s="108" t="s">
        <v>223</v>
      </c>
      <c r="E41" s="61">
        <f t="shared" ca="1" si="16"/>
        <v>3</v>
      </c>
      <c r="F41" s="61" t="str">
        <f t="shared" ca="1" si="17"/>
        <v>Morgan Stanley</v>
      </c>
      <c r="G41" s="1" t="s">
        <v>177</v>
      </c>
      <c r="H41" s="1" t="s">
        <v>180</v>
      </c>
      <c r="I41" s="1" t="str">
        <f ca="1">IF(INDIRECT("'"&amp;A41&amp;"'!"&amp;$I$1)="","-",INDIRECT("'"&amp;A41&amp;"'!"&amp;$I$1))</f>
        <v>Advent &amp; Centerbridge</v>
      </c>
      <c r="J41" s="7" t="str">
        <f t="shared" ca="1" si="18"/>
        <v>Eric Im</v>
      </c>
      <c r="K41" s="62" t="s">
        <v>86</v>
      </c>
      <c r="L41" s="12" t="s">
        <v>339</v>
      </c>
      <c r="M41" s="8">
        <v>44421</v>
      </c>
      <c r="N41" s="8">
        <v>44425</v>
      </c>
      <c r="O41" s="8">
        <f t="shared" ca="1" si="19"/>
        <v>44377</v>
      </c>
      <c r="P41" s="109" t="s">
        <v>689</v>
      </c>
      <c r="Q41" s="109"/>
    </row>
    <row r="42" spans="1:17" hidden="1">
      <c r="A42" s="5" t="s">
        <v>22</v>
      </c>
      <c r="B42" s="6" t="s">
        <v>22</v>
      </c>
      <c r="C42" s="108" t="str">
        <f t="shared" ca="1" si="15"/>
        <v>Federal Mogul</v>
      </c>
      <c r="D42" s="6" t="s">
        <v>222</v>
      </c>
      <c r="E42" s="61">
        <f t="shared" ca="1" si="16"/>
        <v>3</v>
      </c>
      <c r="F42" s="61" t="e">
        <f t="shared" ca="1" si="17"/>
        <v>#N/A</v>
      </c>
      <c r="G42" s="1" t="s">
        <v>192</v>
      </c>
      <c r="H42" s="1" t="s">
        <v>189</v>
      </c>
      <c r="J42" s="7" t="str">
        <f t="shared" ca="1" si="18"/>
        <v>Eric Im</v>
      </c>
      <c r="K42" s="63" t="s">
        <v>166</v>
      </c>
      <c r="M42" s="8"/>
      <c r="N42" s="8"/>
      <c r="O42" s="8" t="str">
        <f t="shared" ca="1" si="19"/>
        <v/>
      </c>
      <c r="P42" s="109" t="s">
        <v>334</v>
      </c>
      <c r="Q42" s="109"/>
    </row>
    <row r="43" spans="1:17">
      <c r="A43" s="137" t="s">
        <v>310</v>
      </c>
      <c r="B43" s="11" t="s">
        <v>310</v>
      </c>
      <c r="C43" s="6" t="str">
        <f t="shared" ca="1" si="15"/>
        <v>Distributed Power (GE)</v>
      </c>
      <c r="D43" s="108" t="s">
        <v>421</v>
      </c>
      <c r="E43" s="61">
        <f t="shared" ca="1" si="16"/>
        <v>3</v>
      </c>
      <c r="F43" s="61" t="str">
        <f t="shared" ca="1" si="17"/>
        <v>UniCredit Bank</v>
      </c>
      <c r="G43" s="1" t="s">
        <v>195</v>
      </c>
      <c r="H43" s="1" t="s">
        <v>174</v>
      </c>
      <c r="I43" s="1" t="str">
        <f ca="1">IF(INDIRECT("'"&amp;A43&amp;"'!"&amp;$I$1)="","-",INDIRECT("'"&amp;A43&amp;"'!"&amp;$I$1))</f>
        <v>Advent International Corporation</v>
      </c>
      <c r="J43" s="7" t="str">
        <f t="shared" ca="1" si="18"/>
        <v>Eric Im</v>
      </c>
      <c r="K43" s="62" t="s">
        <v>86</v>
      </c>
      <c r="L43" s="12" t="s">
        <v>339</v>
      </c>
      <c r="M43" s="8">
        <v>44427</v>
      </c>
      <c r="N43" s="8">
        <v>44431</v>
      </c>
      <c r="O43" s="8">
        <f t="shared" ca="1" si="19"/>
        <v>44377</v>
      </c>
      <c r="P43" s="109" t="s">
        <v>694</v>
      </c>
      <c r="Q43" s="109"/>
    </row>
    <row r="44" spans="1:17">
      <c r="A44" s="100" t="s">
        <v>407</v>
      </c>
      <c r="B44" s="6" t="s">
        <v>407</v>
      </c>
      <c r="C44" s="108" t="str">
        <f t="shared" ca="1" si="15"/>
        <v>DXP Enterprises</v>
      </c>
      <c r="D44" s="108" t="s">
        <v>241</v>
      </c>
      <c r="E44" s="61">
        <f t="shared" ca="1" si="16"/>
        <v>4</v>
      </c>
      <c r="F44" s="61" t="str">
        <f t="shared" ca="1" si="17"/>
        <v>Goldman Sachs</v>
      </c>
      <c r="G44" s="1" t="s">
        <v>173</v>
      </c>
      <c r="H44" s="1" t="s">
        <v>174</v>
      </c>
      <c r="I44" s="1" t="str">
        <f ca="1">IF(INDIRECT("'"&amp;A44&amp;"'!"&amp;$I$1)="","-",INDIRECT("'"&amp;A44&amp;"'!"&amp;$I$1))</f>
        <v>Public (ticker: DXPE)</v>
      </c>
      <c r="J44" s="7" t="str">
        <f t="shared" ca="1" si="18"/>
        <v>Eric Im</v>
      </c>
      <c r="K44" s="62" t="s">
        <v>86</v>
      </c>
      <c r="L44" s="12" t="s">
        <v>340</v>
      </c>
      <c r="M44" s="122">
        <v>44326</v>
      </c>
      <c r="N44" s="122">
        <v>44365</v>
      </c>
      <c r="O44" s="8">
        <f t="shared" ca="1" si="19"/>
        <v>44286</v>
      </c>
      <c r="P44" s="109" t="s">
        <v>649</v>
      </c>
      <c r="Q44" s="108"/>
    </row>
    <row r="45" spans="1:17">
      <c r="A45" s="100" t="s">
        <v>408</v>
      </c>
      <c r="B45" s="6" t="s">
        <v>259</v>
      </c>
      <c r="C45" s="108" t="str">
        <f ca="1">INDIRECT("'"&amp;$B45&amp;"'!"&amp;$C$1)</f>
        <v>Electrical Components International</v>
      </c>
      <c r="D45" s="108" t="s">
        <v>222</v>
      </c>
      <c r="E45" s="61">
        <f t="shared" ca="1" si="16"/>
        <v>3</v>
      </c>
      <c r="F45" s="61" t="str">
        <f t="shared" ca="1" si="17"/>
        <v>Barclays Bank</v>
      </c>
      <c r="G45" s="1" t="s">
        <v>261</v>
      </c>
      <c r="H45" s="1" t="s">
        <v>174</v>
      </c>
      <c r="I45" s="1" t="str">
        <f ca="1">IF(INDIRECT("'"&amp;B45&amp;"'!"&amp;$I$1)="","-",INDIRECT("'"&amp;B45&amp;"'!"&amp;$I$1))</f>
        <v>Cerberus Capital Management</v>
      </c>
      <c r="J45" s="7" t="str">
        <f t="shared" ca="1" si="18"/>
        <v>Eric Im</v>
      </c>
      <c r="K45" s="62" t="s">
        <v>86</v>
      </c>
      <c r="L45" s="12" t="s">
        <v>339</v>
      </c>
      <c r="M45" s="8">
        <v>44418</v>
      </c>
      <c r="N45" s="8">
        <v>44421</v>
      </c>
      <c r="O45" s="8">
        <f ca="1">IF(K45="done",INDIRECT("'"&amp;B45&amp;"'!"&amp;$O$1),"")</f>
        <v>44377</v>
      </c>
      <c r="P45" s="109" t="s">
        <v>687</v>
      </c>
      <c r="Q45" s="109"/>
    </row>
    <row r="46" spans="1:17" hidden="1">
      <c r="A46" s="5" t="s">
        <v>21</v>
      </c>
      <c r="B46" s="6" t="s">
        <v>21</v>
      </c>
      <c r="C46" s="108" t="str">
        <f ca="1">INDIRECT("'"&amp;$A46&amp;"'!"&amp;$C$1)</f>
        <v>Evoqua</v>
      </c>
      <c r="D46" s="6" t="s">
        <v>521</v>
      </c>
      <c r="E46" s="61">
        <f t="shared" ca="1" si="16"/>
        <v>3</v>
      </c>
      <c r="F46" s="61" t="str">
        <f t="shared" ca="1" si="17"/>
        <v>Credit Suisse</v>
      </c>
      <c r="G46" s="1" t="s">
        <v>184</v>
      </c>
      <c r="H46" s="1" t="s">
        <v>180</v>
      </c>
      <c r="I46" s="1" t="str">
        <f ca="1">IF(INDIRECT("'"&amp;A46&amp;"'!"&amp;$I$1)="","-",INDIRECT("'"&amp;A46&amp;"'!"&amp;$I$1))</f>
        <v>Public: AQUA</v>
      </c>
      <c r="J46" s="7" t="str">
        <f t="shared" ca="1" si="18"/>
        <v>Eric Im</v>
      </c>
      <c r="K46" s="62" t="s">
        <v>166</v>
      </c>
      <c r="L46" s="12" t="s">
        <v>339</v>
      </c>
      <c r="M46" s="8">
        <v>44229</v>
      </c>
      <c r="N46" s="8">
        <v>44239</v>
      </c>
      <c r="O46" s="8" t="str">
        <f ca="1">IF(K46="done",INDIRECT("'"&amp;A46&amp;"'!"&amp;$O$1),"")</f>
        <v/>
      </c>
      <c r="P46" s="109" t="s">
        <v>608</v>
      </c>
      <c r="Q46" s="109"/>
    </row>
    <row r="47" spans="1:17" ht="15" customHeight="1">
      <c r="A47" s="100" t="s">
        <v>214</v>
      </c>
      <c r="B47" s="6" t="s">
        <v>214</v>
      </c>
      <c r="C47" s="108" t="str">
        <f ca="1">INDIRECT("'"&amp;B47&amp;"'!"&amp;$C$1)</f>
        <v>EOC Group</v>
      </c>
      <c r="D47" s="109" t="s">
        <v>645</v>
      </c>
      <c r="E47" s="61" t="str">
        <f t="shared" ca="1" si="16"/>
        <v>-</v>
      </c>
      <c r="F47" s="61" t="str">
        <f t="shared" ca="1" si="17"/>
        <v>Jefferies Fin</v>
      </c>
      <c r="G47" s="1" t="s">
        <v>189</v>
      </c>
      <c r="H47" s="1" t="s">
        <v>189</v>
      </c>
      <c r="I47" s="1" t="str">
        <f ca="1">IF(INDIRECT("'"&amp;A47&amp;"'!"&amp;$I$1)="","-",INDIRECT("'"&amp;A47&amp;"'!"&amp;$I$1))</f>
        <v>Golden Gate Capital</v>
      </c>
      <c r="J47" s="7" t="str">
        <f t="shared" ca="1" si="18"/>
        <v>Eric Im</v>
      </c>
      <c r="K47" s="62" t="s">
        <v>86</v>
      </c>
      <c r="L47" s="12" t="s">
        <v>339</v>
      </c>
      <c r="M47" s="8">
        <v>44308</v>
      </c>
      <c r="N47" s="8">
        <v>44326</v>
      </c>
      <c r="O47" s="8">
        <f ca="1">IF(K47="done",INDIRECT("'"&amp;A47&amp;"'!"&amp;$O$1),"")</f>
        <v>44286</v>
      </c>
      <c r="P47" s="109" t="s">
        <v>674</v>
      </c>
      <c r="Q47" s="109"/>
    </row>
    <row r="48" spans="1:17" hidden="1">
      <c r="A48" s="10" t="s">
        <v>284</v>
      </c>
      <c r="B48" s="6" t="s">
        <v>284</v>
      </c>
      <c r="C48" s="108" t="str">
        <f ca="1">INDIRECT("'"&amp;$A48&amp;"'!"&amp;$C$1)</f>
        <v>Garrett Advancing Motion</v>
      </c>
      <c r="D48" s="123" t="s">
        <v>285</v>
      </c>
      <c r="E48" s="61">
        <f t="shared" ca="1" si="16"/>
        <v>2</v>
      </c>
      <c r="F48" s="61" t="str">
        <f t="shared" ca="1" si="17"/>
        <v>JP Morgan Chase</v>
      </c>
      <c r="G48" s="1" t="s">
        <v>192</v>
      </c>
      <c r="H48" s="1" t="s">
        <v>189</v>
      </c>
      <c r="I48" s="1" t="str">
        <f ca="1">IF(INDIRECT("'"&amp;A48&amp;"'!"&amp;$I$1)="","-",INDIRECT("'"&amp;A48&amp;"'!"&amp;$I$1))</f>
        <v>Public (NYSE: GTX)</v>
      </c>
      <c r="J48" s="7" t="str">
        <f t="shared" ca="1" si="18"/>
        <v>Eric Im</v>
      </c>
      <c r="K48" s="62" t="s">
        <v>166</v>
      </c>
      <c r="L48" s="12" t="s">
        <v>339</v>
      </c>
      <c r="M48" s="8">
        <v>44137</v>
      </c>
      <c r="N48" s="8">
        <v>44139</v>
      </c>
      <c r="O48" s="8" t="str">
        <f ca="1">IF(K48="done",INDIRECT("'"&amp;A48&amp;"'!"&amp;$O$1),"")</f>
        <v/>
      </c>
      <c r="P48" s="109" t="s">
        <v>579</v>
      </c>
      <c r="Q48" s="108"/>
    </row>
    <row r="49" spans="1:17" hidden="1">
      <c r="A49" t="s">
        <v>24</v>
      </c>
      <c r="C49" s="108"/>
      <c r="D49" s="6"/>
      <c r="E49" s="61"/>
      <c r="F49" s="61"/>
      <c r="J49" s="7"/>
      <c r="K49" s="63" t="s">
        <v>166</v>
      </c>
      <c r="M49" s="8"/>
      <c r="N49" s="8"/>
      <c r="O49" s="8"/>
      <c r="P49" s="109"/>
      <c r="Q49" s="109"/>
    </row>
    <row r="50" spans="1:17" ht="15" customHeight="1">
      <c r="A50" s="100" t="s">
        <v>200</v>
      </c>
      <c r="B50" s="6" t="s">
        <v>200</v>
      </c>
      <c r="C50" s="108" t="str">
        <f ca="1">INDIRECT("'"&amp;B50&amp;"'!"&amp;$C$1)</f>
        <v>ExGen Renewables</v>
      </c>
      <c r="D50" s="108" t="s">
        <v>223</v>
      </c>
      <c r="E50" s="61">
        <f t="shared" ref="E50:E57" ca="1" si="20">IF(INDIRECT("'"&amp;B50&amp;"'!"&amp;$E$1)="","-",INDIRECT("'"&amp;B50&amp;"'!"&amp;$E$1))</f>
        <v>3</v>
      </c>
      <c r="F50" s="61" t="str">
        <f t="shared" ref="F50:F57" ca="1" si="21">IF(INDIRECT("'"&amp;B50&amp;"'!"&amp;$F$1)="","-",INDIRECT("'"&amp;B50&amp;"'!"&amp;$F$1))</f>
        <v>Jefferies</v>
      </c>
      <c r="G50" s="1" t="s">
        <v>201</v>
      </c>
      <c r="H50" s="1" t="s">
        <v>183</v>
      </c>
      <c r="I50" s="1" t="str">
        <f ca="1">IF(INDIRECT("'"&amp;A50&amp;"'!"&amp;$I$1)="","-",INDIRECT("'"&amp;A50&amp;"'!"&amp;$I$1))</f>
        <v>Exelon (NYSE:EXC)</v>
      </c>
      <c r="J50" s="7" t="str">
        <f t="shared" ref="J50:J57" ca="1" si="22">IF(INDIRECT("'"&amp;B50&amp;"'!"&amp;$J$1)="","-",INDIRECT("'"&amp;B50&amp;"'!"&amp;$J$1))</f>
        <v>Daniel Marcel</v>
      </c>
      <c r="K50" s="62" t="s">
        <v>86</v>
      </c>
      <c r="L50" s="12" t="s">
        <v>340</v>
      </c>
      <c r="M50" s="8">
        <v>44173</v>
      </c>
      <c r="N50" s="8">
        <v>44234</v>
      </c>
      <c r="O50" s="8">
        <f t="shared" ref="O50:O57" ca="1" si="23">IF(K50="done",INDIRECT("'"&amp;A50&amp;"'!"&amp;$O$1),"")</f>
        <v>44286</v>
      </c>
      <c r="P50" s="108" t="s">
        <v>564</v>
      </c>
      <c r="Q50" s="109"/>
    </row>
    <row r="51" spans="1:17" hidden="1">
      <c r="A51" s="59" t="s">
        <v>25</v>
      </c>
      <c r="B51" s="6" t="s">
        <v>25</v>
      </c>
      <c r="C51" s="6" t="str">
        <f ca="1">INDIRECT("'"&amp;$A51&amp;"'!"&amp;$C$1)</f>
        <v>Huntsman</v>
      </c>
      <c r="D51" s="6"/>
      <c r="E51" s="61" t="str">
        <f t="shared" ca="1" si="20"/>
        <v>-</v>
      </c>
      <c r="F51" s="61" t="e">
        <f t="shared" ca="1" si="21"/>
        <v>#N/A</v>
      </c>
      <c r="J51" s="7" t="str">
        <f t="shared" ca="1" si="22"/>
        <v>Eric Im</v>
      </c>
      <c r="K51" s="63" t="s">
        <v>166</v>
      </c>
      <c r="L51" s="63"/>
      <c r="M51" s="8"/>
      <c r="N51" s="8"/>
      <c r="O51" s="8" t="str">
        <f t="shared" ca="1" si="23"/>
        <v/>
      </c>
      <c r="P51" s="60"/>
      <c r="Q51" s="121"/>
    </row>
    <row r="52" spans="1:17" ht="15" customHeight="1">
      <c r="A52" s="5" t="s">
        <v>677</v>
      </c>
      <c r="B52" s="1" t="s">
        <v>677</v>
      </c>
      <c r="C52" s="108" t="str">
        <f ca="1">INDIRECT("'"&amp;$A52&amp;"'!"&amp;$C$1)</f>
        <v>Fairbanks Morse Defense</v>
      </c>
      <c r="D52" s="109"/>
      <c r="E52" s="61">
        <f t="shared" ca="1" si="20"/>
        <v>4</v>
      </c>
      <c r="F52" s="61" t="str">
        <f t="shared" ca="1" si="21"/>
        <v>Jefferies</v>
      </c>
      <c r="G52" s="1" t="s">
        <v>188</v>
      </c>
      <c r="H52" s="1" t="s">
        <v>188</v>
      </c>
      <c r="I52" s="1" t="str">
        <f ca="1">IF(INDIRECT("'"&amp;A52&amp;"'!"&amp;$I$1)="","-",INDIRECT("'"&amp;A52&amp;"'!"&amp;$I$1))</f>
        <v>Arcline Investment Management</v>
      </c>
      <c r="J52" s="7" t="str">
        <f t="shared" ca="1" si="22"/>
        <v>Eric Im</v>
      </c>
      <c r="K52" s="62" t="s">
        <v>86</v>
      </c>
      <c r="L52" s="12" t="s">
        <v>340</v>
      </c>
      <c r="M52" s="8">
        <v>44363</v>
      </c>
      <c r="N52" s="8">
        <v>44377</v>
      </c>
      <c r="O52" s="8">
        <f t="shared" ca="1" si="23"/>
        <v>44286</v>
      </c>
      <c r="P52" s="108" t="s">
        <v>564</v>
      </c>
    </row>
    <row r="53" spans="1:17">
      <c r="A53" s="5" t="s">
        <v>217</v>
      </c>
      <c r="B53" s="6" t="s">
        <v>217</v>
      </c>
      <c r="C53" s="108" t="str">
        <f ca="1">INDIRECT("'"&amp;B53&amp;"'!"&amp;$C$1)</f>
        <v>Filtration Group</v>
      </c>
      <c r="D53" s="108" t="s">
        <v>223</v>
      </c>
      <c r="E53" s="61" t="str">
        <f t="shared" ca="1" si="20"/>
        <v>-</v>
      </c>
      <c r="F53" s="61" t="str">
        <f t="shared" ca="1" si="21"/>
        <v>Goldman Sachs</v>
      </c>
      <c r="G53" s="1" t="s">
        <v>174</v>
      </c>
      <c r="H53" s="1" t="s">
        <v>218</v>
      </c>
      <c r="I53" s="1" t="str">
        <f ca="1">IF(INDIRECT("'"&amp;A53&amp;"'!"&amp;$I$1)="","-",INDIRECT("'"&amp;A53&amp;"'!"&amp;$I$1))</f>
        <v>Madison Capital Partners</v>
      </c>
      <c r="J53" s="7" t="str">
        <f t="shared" ca="1" si="22"/>
        <v>Eric Im</v>
      </c>
      <c r="K53" s="62" t="s">
        <v>86</v>
      </c>
      <c r="L53" s="12" t="s">
        <v>339</v>
      </c>
      <c r="M53" s="8">
        <v>44421</v>
      </c>
      <c r="N53" s="8">
        <v>44425</v>
      </c>
      <c r="O53" s="8">
        <f t="shared" ca="1" si="23"/>
        <v>44377</v>
      </c>
      <c r="P53" s="109" t="s">
        <v>690</v>
      </c>
      <c r="Q53" s="109"/>
    </row>
    <row r="54" spans="1:17" hidden="1">
      <c r="A54" s="59" t="s">
        <v>26</v>
      </c>
      <c r="B54" s="6" t="s">
        <v>26</v>
      </c>
      <c r="C54" s="6" t="str">
        <f ca="1">INDIRECT("'"&amp;$A54&amp;"'!"&amp;$C$1)</f>
        <v>Jeld-Wen</v>
      </c>
      <c r="D54" s="6"/>
      <c r="E54" s="61" t="str">
        <f t="shared" ca="1" si="20"/>
        <v>-</v>
      </c>
      <c r="F54" s="61" t="e">
        <f t="shared" ca="1" si="21"/>
        <v>#N/A</v>
      </c>
      <c r="J54" s="7" t="str">
        <f t="shared" ca="1" si="22"/>
        <v>Eric Im</v>
      </c>
      <c r="K54" s="63" t="s">
        <v>166</v>
      </c>
      <c r="L54" s="63"/>
      <c r="M54" s="8"/>
      <c r="N54" s="8"/>
      <c r="O54" s="8" t="str">
        <f t="shared" ca="1" si="23"/>
        <v/>
      </c>
    </row>
    <row r="55" spans="1:17" ht="15" customHeight="1">
      <c r="A55" s="5" t="s">
        <v>623</v>
      </c>
      <c r="B55" s="1" t="s">
        <v>623</v>
      </c>
      <c r="C55" s="108" t="str">
        <f ca="1">INDIRECT("'"&amp;$A55&amp;"'!"&amp;$C$1)</f>
        <v>First Brands Group</v>
      </c>
      <c r="D55" s="109"/>
      <c r="E55" s="61">
        <f t="shared" ca="1" si="20"/>
        <v>3</v>
      </c>
      <c r="F55" s="61" t="str">
        <f t="shared" ca="1" si="21"/>
        <v>JEFF</v>
      </c>
      <c r="H55" s="1" t="s">
        <v>189</v>
      </c>
      <c r="I55" s="1" t="str">
        <f ca="1">IF(INDIRECT("'"&amp;A55&amp;"'!"&amp;$I$1)="","-",INDIRECT("'"&amp;A55&amp;"'!"&amp;$I$1))</f>
        <v>Private</v>
      </c>
      <c r="J55" s="7" t="str">
        <f t="shared" ca="1" si="22"/>
        <v>Eric Im</v>
      </c>
      <c r="K55" s="62" t="s">
        <v>86</v>
      </c>
      <c r="L55" s="12" t="s">
        <v>340</v>
      </c>
      <c r="M55" s="8">
        <v>44318</v>
      </c>
      <c r="N55" s="8">
        <v>44318</v>
      </c>
      <c r="O55" s="8">
        <f t="shared" ca="1" si="23"/>
        <v>44286</v>
      </c>
      <c r="P55" s="108" t="s">
        <v>564</v>
      </c>
    </row>
    <row r="56" spans="1:17" hidden="1">
      <c r="A56" s="5" t="s">
        <v>28</v>
      </c>
      <c r="B56" s="6" t="s">
        <v>28</v>
      </c>
      <c r="C56" s="6" t="str">
        <f ca="1">INDIRECT("'"&amp;$A56&amp;"'!"&amp;$C$1)</f>
        <v>KCA Deutag</v>
      </c>
      <c r="D56" s="6" t="s">
        <v>223</v>
      </c>
      <c r="E56" s="61">
        <f t="shared" ca="1" si="20"/>
        <v>4</v>
      </c>
      <c r="F56" s="61" t="e">
        <f t="shared" ca="1" si="21"/>
        <v>#N/A</v>
      </c>
      <c r="G56" s="1" t="s">
        <v>193</v>
      </c>
      <c r="H56" s="1" t="s">
        <v>194</v>
      </c>
      <c r="J56" s="7" t="str">
        <f t="shared" ca="1" si="22"/>
        <v>Eric Im</v>
      </c>
      <c r="K56" s="63" t="s">
        <v>166</v>
      </c>
      <c r="L56" s="63"/>
      <c r="M56" s="8"/>
      <c r="N56" s="8"/>
      <c r="O56" s="8" t="str">
        <f t="shared" ca="1" si="23"/>
        <v/>
      </c>
    </row>
    <row r="57" spans="1:17">
      <c r="A57" s="5" t="s">
        <v>611</v>
      </c>
      <c r="B57" s="1" t="s">
        <v>611</v>
      </c>
      <c r="C57" s="108" t="str">
        <f ca="1">INDIRECT("'"&amp;$A57&amp;"'!"&amp;$C$1)</f>
        <v>Flow Control Group</v>
      </c>
      <c r="D57" s="109"/>
      <c r="E57" s="61">
        <f t="shared" ca="1" si="20"/>
        <v>3</v>
      </c>
      <c r="F57" s="61" t="str">
        <f t="shared" ca="1" si="21"/>
        <v>CS</v>
      </c>
      <c r="G57" s="1" t="s">
        <v>612</v>
      </c>
      <c r="H57" s="1" t="s">
        <v>174</v>
      </c>
      <c r="I57" s="1" t="str">
        <f ca="1">IF(INDIRECT("'"&amp;A57&amp;"'!"&amp;$I$1)="","-",INDIRECT("'"&amp;A57&amp;"'!"&amp;$I$1))</f>
        <v>KKR</v>
      </c>
      <c r="J57" s="7" t="str">
        <f t="shared" ca="1" si="22"/>
        <v>Eric Im</v>
      </c>
      <c r="K57" s="62" t="s">
        <v>86</v>
      </c>
      <c r="L57" s="12" t="s">
        <v>340</v>
      </c>
      <c r="M57" s="8">
        <v>44277</v>
      </c>
      <c r="N57" s="8">
        <v>44277</v>
      </c>
      <c r="O57" s="8">
        <f t="shared" ca="1" si="23"/>
        <v>44196</v>
      </c>
      <c r="P57" s="108" t="s">
        <v>564</v>
      </c>
    </row>
    <row r="58" spans="1:17" ht="15" hidden="1" customHeight="1">
      <c r="A58" s="6" t="s">
        <v>29</v>
      </c>
      <c r="D58" s="6"/>
      <c r="E58" s="61"/>
      <c r="F58" s="61"/>
      <c r="J58" s="7"/>
      <c r="K58" s="62" t="s">
        <v>3</v>
      </c>
      <c r="M58" s="8"/>
      <c r="N58" s="8"/>
      <c r="O58" s="8" t="s">
        <v>3</v>
      </c>
    </row>
    <row r="59" spans="1:17">
      <c r="A59" s="5" t="s">
        <v>604</v>
      </c>
      <c r="B59" s="6" t="s">
        <v>607</v>
      </c>
      <c r="C59" s="108" t="str">
        <f ca="1">INDIRECT("'"&amp;$B59&amp;"'!"&amp;$C$1)</f>
        <v>Foundation Building Materials ("FBM")</v>
      </c>
      <c r="D59" s="109"/>
      <c r="E59" s="61">
        <f ca="1">IF(INDIRECT("'"&amp;B59&amp;"'!"&amp;$E$1)="","-",INDIRECT("'"&amp;B59&amp;"'!"&amp;$E$1))</f>
        <v>3</v>
      </c>
      <c r="F59" s="61" t="str">
        <f ca="1">IF(INDIRECT("'"&amp;B59&amp;"'!"&amp;$F$1)="","-",INDIRECT("'"&amp;B59&amp;"'!"&amp;$F$1))</f>
        <v>CS</v>
      </c>
      <c r="G59" s="1" t="s">
        <v>563</v>
      </c>
      <c r="H59" s="1" t="s">
        <v>187</v>
      </c>
      <c r="I59" s="1" t="str">
        <f ca="1">IF(INDIRECT("'"&amp;B59&amp;"'!"&amp;$I$1)="","-",INDIRECT("'"&amp;B59&amp;"'!"&amp;$I$1))</f>
        <v>American Securities</v>
      </c>
      <c r="J59" s="7" t="str">
        <f ca="1">IF(INDIRECT("'"&amp;B59&amp;"'!"&amp;$J$1)="","-",INDIRECT("'"&amp;B59&amp;"'!"&amp;$J$1))</f>
        <v>Eric Im</v>
      </c>
      <c r="K59" s="62" t="s">
        <v>86</v>
      </c>
      <c r="L59" s="12" t="s">
        <v>340</v>
      </c>
      <c r="M59" s="8">
        <v>43871</v>
      </c>
      <c r="N59" s="8">
        <v>43871</v>
      </c>
      <c r="O59" s="8">
        <f ca="1">IF(K59="done",INDIRECT("'"&amp;B59&amp;"'!"&amp;$O$1),"")</f>
        <v>44196</v>
      </c>
      <c r="P59" s="108" t="s">
        <v>564</v>
      </c>
    </row>
    <row r="60" spans="1:17">
      <c r="A60" s="5" t="s">
        <v>523</v>
      </c>
      <c r="B60" s="6" t="s">
        <v>523</v>
      </c>
      <c r="C60" s="108" t="str">
        <f ca="1">INDIRECT("'"&amp;$A60&amp;"'!"&amp;$C$1)</f>
        <v>Genesee &amp; Wyoming</v>
      </c>
      <c r="D60" s="108" t="s">
        <v>222</v>
      </c>
      <c r="E60" s="61">
        <f ca="1">IF(INDIRECT("'"&amp;B60&amp;"'!"&amp;$E$1)="","-",INDIRECT("'"&amp;B60&amp;"'!"&amp;$E$1))</f>
        <v>2</v>
      </c>
      <c r="F60" s="61" t="str">
        <f ca="1">IF(INDIRECT("'"&amp;B60&amp;"'!"&amp;$F$1)="","-",INDIRECT("'"&amp;B60&amp;"'!"&amp;$F$1))</f>
        <v>CS</v>
      </c>
      <c r="G60" s="1" t="s">
        <v>517</v>
      </c>
      <c r="H60" s="1" t="s">
        <v>176</v>
      </c>
      <c r="I60" s="1" t="str">
        <f ca="1">IF(INDIRECT("'"&amp;A60&amp;"'!"&amp;$I$1)="","-",INDIRECT("'"&amp;A60&amp;"'!"&amp;$I$1))</f>
        <v>Brookfield and GIC</v>
      </c>
      <c r="J60" s="7" t="str">
        <f ca="1">IF(INDIRECT("'"&amp;B60&amp;"'!"&amp;$J$1)="","-",INDIRECT("'"&amp;B60&amp;"'!"&amp;$J$1))</f>
        <v>Eric Im</v>
      </c>
      <c r="K60" s="62" t="s">
        <v>86</v>
      </c>
      <c r="L60" s="12" t="s">
        <v>340</v>
      </c>
      <c r="M60" s="8">
        <v>44329</v>
      </c>
      <c r="N60" s="8">
        <v>44342</v>
      </c>
      <c r="O60" s="8">
        <f ca="1">IF(K60="done",INDIRECT("'"&amp;A60&amp;"'!"&amp;$O$1),"")</f>
        <v>44286</v>
      </c>
      <c r="P60" s="108" t="s">
        <v>630</v>
      </c>
    </row>
    <row r="61" spans="1:17" hidden="1">
      <c r="A61" s="80" t="s">
        <v>512</v>
      </c>
      <c r="B61" s="6" t="s">
        <v>512</v>
      </c>
      <c r="C61" s="108" t="str">
        <f ca="1">INDIRECT("'"&amp;$A61&amp;"'!"&amp;$C$1)</f>
        <v>GFL Environmental</v>
      </c>
      <c r="D61" s="6" t="s">
        <v>222</v>
      </c>
      <c r="E61" s="61">
        <f ca="1">IF(INDIRECT("'"&amp;B61&amp;"'!"&amp;$E$1)="","-",INDIRECT("'"&amp;B61&amp;"'!"&amp;$E$1))</f>
        <v>3</v>
      </c>
      <c r="F61" s="61" t="str">
        <f ca="1">IF(INDIRECT("'"&amp;B61&amp;"'!"&amp;$F$1)="","-",INDIRECT("'"&amp;B61&amp;"'!"&amp;$F$1))</f>
        <v>Barclays Bank</v>
      </c>
      <c r="G61" s="1" t="s">
        <v>177</v>
      </c>
      <c r="H61" s="1" t="s">
        <v>180</v>
      </c>
      <c r="I61" s="1" t="str">
        <f ca="1">IF(INDIRECT("'"&amp;A61&amp;"'!"&amp;$I$1)="","-",INDIRECT("'"&amp;A61&amp;"'!"&amp;$I$1))</f>
        <v>Highbridge, Hawthorn Equity &amp; Macquarie</v>
      </c>
      <c r="J61" s="7" t="str">
        <f ca="1">IF(INDIRECT("'"&amp;B61&amp;"'!"&amp;$J$1)="","-",INDIRECT("'"&amp;B61&amp;"'!"&amp;$J$1))</f>
        <v>Eric Im</v>
      </c>
      <c r="K61" s="62" t="s">
        <v>166</v>
      </c>
      <c r="L61" s="12" t="s">
        <v>339</v>
      </c>
      <c r="M61" s="8">
        <v>44347</v>
      </c>
      <c r="N61" s="8">
        <v>44349</v>
      </c>
      <c r="O61" s="8" t="str">
        <f ca="1">IF(K61="done",INDIRECT("'"&amp;A61&amp;"'!"&amp;$O$1),"")</f>
        <v/>
      </c>
      <c r="P61" s="109" t="s">
        <v>634</v>
      </c>
      <c r="Q61" s="109"/>
    </row>
    <row r="62" spans="1:17" hidden="1">
      <c r="A62" t="s">
        <v>230</v>
      </c>
      <c r="B62" s="6" t="s">
        <v>230</v>
      </c>
      <c r="C62" s="6" t="str">
        <f ca="1">INDIRECT("'"&amp;$A62&amp;"'!"&amp;$C$1)</f>
        <v>NRG Energy</v>
      </c>
      <c r="D62" s="123" t="s">
        <v>235</v>
      </c>
      <c r="E62" s="61">
        <f ca="1">IF(INDIRECT("'"&amp;B62&amp;"'!"&amp;$E$1)="","-",INDIRECT("'"&amp;B62&amp;"'!"&amp;$E$1))</f>
        <v>2</v>
      </c>
      <c r="F62" s="61" t="e">
        <f ca="1">IF(INDIRECT("'"&amp;B62&amp;"'!"&amp;$F$1)="","-",INDIRECT("'"&amp;B62&amp;"'!"&amp;$F$1))</f>
        <v>#N/A</v>
      </c>
      <c r="G62" s="1" t="s">
        <v>231</v>
      </c>
      <c r="H62" s="1" t="s">
        <v>232</v>
      </c>
      <c r="I62" s="1" t="str">
        <f ca="1">IF(INDIRECT("'"&amp;A62&amp;"'!"&amp;$I$1)="","-",INDIRECT("'"&amp;A62&amp;"'!"&amp;$I$1))</f>
        <v xml:space="preserve">Public (Ticker: NRG) </v>
      </c>
      <c r="J62" s="7" t="str">
        <f ca="1">IF(INDIRECT("'"&amp;B62&amp;"'!"&amp;$J$1)="","-",INDIRECT("'"&amp;B62&amp;"'!"&amp;$J$1))</f>
        <v>Eric Im</v>
      </c>
      <c r="K62" s="62" t="s">
        <v>166</v>
      </c>
      <c r="L62" s="12" t="s">
        <v>339</v>
      </c>
      <c r="M62" s="8">
        <v>43587</v>
      </c>
      <c r="N62" s="8">
        <v>43602</v>
      </c>
      <c r="O62" s="8" t="str">
        <f ca="1">IF(K62="done",INDIRECT("'"&amp;A62&amp;"'!"&amp;$O$1),"")</f>
        <v/>
      </c>
      <c r="P62" s="118" t="s">
        <v>434</v>
      </c>
      <c r="Q62" s="108"/>
    </row>
    <row r="63" spans="1:17" hidden="1">
      <c r="A63" s="6" t="s">
        <v>31</v>
      </c>
      <c r="D63" s="6"/>
      <c r="E63" s="61"/>
      <c r="F63" s="61"/>
      <c r="J63" s="7"/>
      <c r="K63" s="62" t="s">
        <v>166</v>
      </c>
      <c r="M63" s="8"/>
      <c r="N63" s="8"/>
      <c r="O63" s="8" t="s">
        <v>3</v>
      </c>
    </row>
    <row r="64" spans="1:17">
      <c r="A64" s="5" t="s">
        <v>204</v>
      </c>
      <c r="B64" s="6" t="s">
        <v>204</v>
      </c>
      <c r="C64" s="108" t="str">
        <f ca="1">INDIRECT("'"&amp;B64&amp;"'!"&amp;$C$1)</f>
        <v>GrafTech</v>
      </c>
      <c r="D64" s="109" t="s">
        <v>272</v>
      </c>
      <c r="E64" s="61">
        <f t="shared" ref="E64:E70" ca="1" si="24">IF(INDIRECT("'"&amp;B64&amp;"'!"&amp;$E$1)="","-",INDIRECT("'"&amp;B64&amp;"'!"&amp;$E$1))</f>
        <v>3</v>
      </c>
      <c r="F64" s="61" t="str">
        <f t="shared" ref="F64:F70" ca="1" si="25">IF(INDIRECT("'"&amp;B64&amp;"'!"&amp;$F$1)="","-",INDIRECT("'"&amp;B64&amp;"'!"&amp;$F$1))</f>
        <v>JP Morgan Chase</v>
      </c>
      <c r="G64" s="1" t="s">
        <v>178</v>
      </c>
      <c r="H64" s="1" t="s">
        <v>181</v>
      </c>
      <c r="I64" s="1" t="str">
        <f ca="1">IF(INDIRECT("'"&amp;A64&amp;"'!"&amp;$I$1)="","-",INDIRECT("'"&amp;A64&amp;"'!"&amp;$I$1))</f>
        <v>Public (Ticker: EAF)</v>
      </c>
      <c r="J64" s="7" t="str">
        <f t="shared" ref="J64:J70" ca="1" si="26">IF(INDIRECT("'"&amp;B64&amp;"'!"&amp;$J$1)="","-",INDIRECT("'"&amp;B64&amp;"'!"&amp;$J$1))</f>
        <v>Eric Im</v>
      </c>
      <c r="K64" s="62" t="s">
        <v>86</v>
      </c>
      <c r="L64" s="12" t="s">
        <v>339</v>
      </c>
      <c r="M64" s="8">
        <v>44414</v>
      </c>
      <c r="N64" s="8">
        <v>44419</v>
      </c>
      <c r="O64" s="8">
        <f t="shared" ref="O64:O70" ca="1" si="27">IF(K64="done",INDIRECT("'"&amp;A64&amp;"'!"&amp;$O$1),"")</f>
        <v>44377</v>
      </c>
      <c r="P64" s="109" t="s">
        <v>682</v>
      </c>
      <c r="Q64" s="108"/>
    </row>
    <row r="65" spans="1:17" hidden="1">
      <c r="A65" t="s">
        <v>319</v>
      </c>
      <c r="B65" s="11" t="s">
        <v>319</v>
      </c>
      <c r="C65" s="6" t="str">
        <f ca="1">INDIRECT("'"&amp;$A65&amp;"'!"&amp;$C$1)</f>
        <v>Plastipak</v>
      </c>
      <c r="E65" s="61" t="str">
        <f t="shared" ca="1" si="24"/>
        <v>-</v>
      </c>
      <c r="F65" s="61" t="e">
        <f t="shared" ca="1" si="25"/>
        <v>#N/A</v>
      </c>
      <c r="G65" s="1" t="s">
        <v>320</v>
      </c>
      <c r="H65" s="1" t="s">
        <v>321</v>
      </c>
      <c r="J65" s="7" t="str">
        <f t="shared" ca="1" si="26"/>
        <v>Eric Im</v>
      </c>
      <c r="K65" s="62" t="s">
        <v>3</v>
      </c>
      <c r="M65" s="8"/>
      <c r="N65" s="8"/>
      <c r="O65" s="8" t="str">
        <f t="shared" ca="1" si="27"/>
        <v/>
      </c>
      <c r="P65" s="108"/>
      <c r="Q65" s="108"/>
    </row>
    <row r="66" spans="1:17">
      <c r="A66" s="5" t="s">
        <v>23</v>
      </c>
      <c r="B66" s="6" t="s">
        <v>23</v>
      </c>
      <c r="C66" s="108" t="str">
        <f ca="1">INDIRECT("'"&amp;$A66&amp;"'!"&amp;$C$1)</f>
        <v>Gulf Finance</v>
      </c>
      <c r="D66" s="108" t="s">
        <v>223</v>
      </c>
      <c r="E66" s="61">
        <f t="shared" ca="1" si="24"/>
        <v>6</v>
      </c>
      <c r="F66" s="61" t="str">
        <f t="shared" ca="1" si="25"/>
        <v>Morgan Stan Sr</v>
      </c>
      <c r="G66" s="1" t="s">
        <v>193</v>
      </c>
      <c r="H66" s="1" t="s">
        <v>194</v>
      </c>
      <c r="I66" s="1" t="str">
        <f ca="1">IF(INDIRECT("'"&amp;A66&amp;"'!"&amp;$I$1)="","-",INDIRECT("'"&amp;A66&amp;"'!"&amp;$I$1))</f>
        <v>Arclight</v>
      </c>
      <c r="J66" s="7" t="str">
        <f t="shared" ca="1" si="26"/>
        <v>Eric Im</v>
      </c>
      <c r="K66" s="62" t="s">
        <v>86</v>
      </c>
      <c r="L66" s="12" t="s">
        <v>340</v>
      </c>
      <c r="M66" s="8">
        <v>44345</v>
      </c>
      <c r="N66" s="8">
        <v>44372</v>
      </c>
      <c r="O66" s="8">
        <f t="shared" ca="1" si="27"/>
        <v>44286</v>
      </c>
      <c r="P66" s="109" t="s">
        <v>658</v>
      </c>
      <c r="Q66" s="109"/>
    </row>
    <row r="67" spans="1:17" hidden="1">
      <c r="A67" s="5" t="s">
        <v>206</v>
      </c>
      <c r="B67" s="6" t="s">
        <v>206</v>
      </c>
      <c r="C67" s="108" t="str">
        <f ca="1">INDIRECT("'"&amp;B67&amp;"'!"&amp;$C$1)</f>
        <v>Janus International</v>
      </c>
      <c r="D67" s="6" t="s">
        <v>222</v>
      </c>
      <c r="E67" s="61">
        <f t="shared" ca="1" si="24"/>
        <v>4</v>
      </c>
      <c r="F67" s="61" t="str">
        <f t="shared" ca="1" si="25"/>
        <v>UBS Securities</v>
      </c>
      <c r="G67" s="1" t="s">
        <v>207</v>
      </c>
      <c r="H67" s="1" t="s">
        <v>174</v>
      </c>
      <c r="I67" s="1" t="str">
        <f ca="1">IF(INDIRECT("'"&amp;A67&amp;"'!"&amp;$I$1)="","-",INDIRECT("'"&amp;A67&amp;"'!"&amp;$I$1))</f>
        <v>Clearlake Capital</v>
      </c>
      <c r="J67" s="7" t="str">
        <f t="shared" ca="1" si="26"/>
        <v>Eric Im</v>
      </c>
      <c r="K67" s="62" t="s">
        <v>166</v>
      </c>
      <c r="L67" s="12" t="s">
        <v>339</v>
      </c>
      <c r="M67" s="8">
        <v>44284</v>
      </c>
      <c r="N67" s="8">
        <v>44285</v>
      </c>
      <c r="O67" s="8" t="str">
        <f t="shared" ca="1" si="27"/>
        <v/>
      </c>
      <c r="P67" s="109" t="s">
        <v>615</v>
      </c>
      <c r="Q67" s="108"/>
    </row>
    <row r="68" spans="1:17">
      <c r="A68" s="5" t="s">
        <v>262</v>
      </c>
      <c r="B68" s="6" t="s">
        <v>262</v>
      </c>
      <c r="C68" s="108" t="str">
        <f ca="1">INDIRECT("'"&amp;$A68&amp;"'!"&amp;$C$1)</f>
        <v>Harsco</v>
      </c>
      <c r="D68" s="108" t="s">
        <v>198</v>
      </c>
      <c r="E68" s="61">
        <f t="shared" ca="1" si="24"/>
        <v>2</v>
      </c>
      <c r="F68" s="61" t="str">
        <f t="shared" ca="1" si="25"/>
        <v>Citibank NA</v>
      </c>
      <c r="G68" s="1" t="s">
        <v>173</v>
      </c>
      <c r="H68" s="1" t="s">
        <v>174</v>
      </c>
      <c r="I68" s="1" t="str">
        <f ca="1">IF(INDIRECT("'"&amp;A68&amp;"'!"&amp;$I$1)="","-",INDIRECT("'"&amp;A68&amp;"'!"&amp;$I$1))</f>
        <v>Public (ticker: HSC)</v>
      </c>
      <c r="J68" s="7" t="str">
        <f t="shared" ca="1" si="26"/>
        <v>Eric Im</v>
      </c>
      <c r="K68" s="62" t="s">
        <v>86</v>
      </c>
      <c r="L68" s="12" t="s">
        <v>339</v>
      </c>
      <c r="M68" s="8">
        <v>44411</v>
      </c>
      <c r="N68" s="8">
        <v>44414</v>
      </c>
      <c r="O68" s="8">
        <f t="shared" ca="1" si="27"/>
        <v>44377</v>
      </c>
      <c r="P68" s="109" t="s">
        <v>683</v>
      </c>
      <c r="Q68" s="108"/>
    </row>
    <row r="69" spans="1:17">
      <c r="A69" s="5" t="s">
        <v>245</v>
      </c>
      <c r="B69" s="6" t="s">
        <v>245</v>
      </c>
      <c r="C69" s="108" t="str">
        <f ca="1">INDIRECT("'"&amp;$A69&amp;"'!"&amp;$C$1)</f>
        <v>Hunterstown</v>
      </c>
      <c r="D69" s="108"/>
      <c r="E69" s="61" t="str">
        <f t="shared" ca="1" si="24"/>
        <v>-</v>
      </c>
      <c r="F69" s="61" t="str">
        <f t="shared" ca="1" si="25"/>
        <v>Morgan Stan Sr</v>
      </c>
      <c r="G69" s="1" t="s">
        <v>201</v>
      </c>
      <c r="H69" s="1" t="s">
        <v>183</v>
      </c>
      <c r="I69" s="1" t="str">
        <f ca="1">IF(INDIRECT("'"&amp;A69&amp;"'!"&amp;$I$1)="","-",INDIRECT("'"&amp;A69&amp;"'!"&amp;$I$1))</f>
        <v>Platinum Equity/AOS</v>
      </c>
      <c r="J69" s="7" t="str">
        <f t="shared" ca="1" si="26"/>
        <v>Daniel Marcel</v>
      </c>
      <c r="K69" s="62" t="s">
        <v>86</v>
      </c>
      <c r="L69" s="12" t="s">
        <v>340</v>
      </c>
      <c r="M69" s="8">
        <v>44322</v>
      </c>
      <c r="N69" s="8">
        <v>44346</v>
      </c>
      <c r="O69" s="8">
        <f t="shared" ca="1" si="27"/>
        <v>44286</v>
      </c>
      <c r="P69" s="109" t="s">
        <v>631</v>
      </c>
      <c r="Q69" s="109"/>
    </row>
    <row r="70" spans="1:17">
      <c r="A70" s="5" t="s">
        <v>283</v>
      </c>
      <c r="B70" s="6" t="s">
        <v>283</v>
      </c>
      <c r="C70" s="108" t="str">
        <f ca="1">INDIRECT("'"&amp;$A70&amp;"'!"&amp;$C$1)</f>
        <v>Husky International</v>
      </c>
      <c r="D70" s="108" t="s">
        <v>223</v>
      </c>
      <c r="E70" s="61" t="str">
        <f t="shared" ca="1" si="24"/>
        <v>-</v>
      </c>
      <c r="F70" s="61" t="str">
        <f t="shared" ca="1" si="25"/>
        <v>Deutsche Bank NY</v>
      </c>
      <c r="G70" s="1" t="s">
        <v>174</v>
      </c>
      <c r="H70" s="1" t="s">
        <v>218</v>
      </c>
      <c r="I70" s="1" t="str">
        <f ca="1">IF(INDIRECT("'"&amp;A70&amp;"'!"&amp;$I$1)="","-",INDIRECT("'"&amp;A70&amp;"'!"&amp;$I$1))</f>
        <v>Platinum Equity</v>
      </c>
      <c r="J70" s="7" t="str">
        <f t="shared" ca="1" si="26"/>
        <v>Eric Im</v>
      </c>
      <c r="K70" s="62" t="s">
        <v>86</v>
      </c>
      <c r="L70" s="12" t="s">
        <v>340</v>
      </c>
      <c r="M70" s="8">
        <v>44329</v>
      </c>
      <c r="N70" s="8">
        <v>44371</v>
      </c>
      <c r="O70" s="8">
        <f t="shared" ca="1" si="27"/>
        <v>44286</v>
      </c>
      <c r="P70" s="109" t="s">
        <v>652</v>
      </c>
      <c r="Q70" s="109"/>
    </row>
    <row r="71" spans="1:17" hidden="1">
      <c r="A71" s="6" t="s">
        <v>34</v>
      </c>
      <c r="D71" s="6"/>
      <c r="E71" s="61"/>
      <c r="F71" s="61"/>
      <c r="J71" s="7"/>
      <c r="M71" s="8"/>
      <c r="N71" s="8"/>
      <c r="O71" s="8" t="s">
        <v>3</v>
      </c>
    </row>
    <row r="72" spans="1:17">
      <c r="A72" s="5" t="s">
        <v>27</v>
      </c>
      <c r="B72" s="6" t="s">
        <v>27</v>
      </c>
      <c r="C72" s="108" t="str">
        <f t="shared" ref="C72:C80" ca="1" si="28">INDIRECT("'"&amp;$A72&amp;"'!"&amp;$C$1)</f>
        <v>K&amp;N Engineering</v>
      </c>
      <c r="D72" s="108" t="s">
        <v>223</v>
      </c>
      <c r="E72" s="61">
        <f t="shared" ref="E72:E93" ca="1" si="29">IF(INDIRECT("'"&amp;B72&amp;"'!"&amp;$E$1)="","-",INDIRECT("'"&amp;B72&amp;"'!"&amp;$E$1))</f>
        <v>3</v>
      </c>
      <c r="F72" s="61" t="str">
        <f t="shared" ref="F72:F89" ca="1" si="30">IF(INDIRECT("'"&amp;B72&amp;"'!"&amp;$F$1)="","-",INDIRECT("'"&amp;B72&amp;"'!"&amp;$F$1))</f>
        <v>Keybank NA</v>
      </c>
      <c r="G72" s="1" t="s">
        <v>192</v>
      </c>
      <c r="H72" s="1" t="s">
        <v>189</v>
      </c>
      <c r="I72" s="1" t="str">
        <f ca="1">IF(INDIRECT("'"&amp;A72&amp;"'!"&amp;$I$1)="","-",INDIRECT("'"&amp;A72&amp;"'!"&amp;$I$1))</f>
        <v>GS Merchant Banking</v>
      </c>
      <c r="J72" s="7" t="str">
        <f t="shared" ref="J72:J93" ca="1" si="31">IF(INDIRECT("'"&amp;B72&amp;"'!"&amp;$J$1)="","-",INDIRECT("'"&amp;B72&amp;"'!"&amp;$J$1))</f>
        <v>Eric Im</v>
      </c>
      <c r="K72" s="62" t="s">
        <v>86</v>
      </c>
      <c r="L72" s="12" t="s">
        <v>339</v>
      </c>
      <c r="M72" s="8">
        <v>44417</v>
      </c>
      <c r="N72" s="8">
        <v>44421</v>
      </c>
      <c r="O72" s="8">
        <f t="shared" ref="O72:O85" ca="1" si="32">IF(K72="done",INDIRECT("'"&amp;A72&amp;"'!"&amp;$O$1),"")</f>
        <v>44377</v>
      </c>
      <c r="P72" s="109" t="s">
        <v>688</v>
      </c>
      <c r="Q72" s="109"/>
    </row>
    <row r="73" spans="1:17">
      <c r="A73" s="5" t="s">
        <v>280</v>
      </c>
      <c r="B73" s="6" t="s">
        <v>280</v>
      </c>
      <c r="C73" s="108" t="str">
        <f t="shared" ca="1" si="28"/>
        <v>Kymera International</v>
      </c>
      <c r="D73" s="108" t="s">
        <v>223</v>
      </c>
      <c r="E73" s="61">
        <f t="shared" ca="1" si="29"/>
        <v>4</v>
      </c>
      <c r="F73" s="61" t="str">
        <f t="shared" ca="1" si="30"/>
        <v>Goldman Sachs</v>
      </c>
      <c r="G73" s="1" t="s">
        <v>252</v>
      </c>
      <c r="H73" s="1" t="s">
        <v>252</v>
      </c>
      <c r="I73" s="1" t="str">
        <f ca="1">IF(INDIRECT("'"&amp;A73&amp;"'!"&amp;$I$1)="","-",INDIRECT("'"&amp;A73&amp;"'!"&amp;$I$1))</f>
        <v>Palladium</v>
      </c>
      <c r="J73" s="7" t="str">
        <f t="shared" ca="1" si="31"/>
        <v>Eric Im</v>
      </c>
      <c r="K73" s="62" t="s">
        <v>86</v>
      </c>
      <c r="L73" s="12" t="s">
        <v>340</v>
      </c>
      <c r="M73" s="8">
        <v>44350</v>
      </c>
      <c r="N73" s="8">
        <v>44372</v>
      </c>
      <c r="O73" s="8">
        <f t="shared" ca="1" si="32"/>
        <v>44286</v>
      </c>
      <c r="P73" s="109" t="s">
        <v>656</v>
      </c>
      <c r="Q73" s="109"/>
    </row>
    <row r="74" spans="1:17" hidden="1">
      <c r="A74" s="5" t="s">
        <v>228</v>
      </c>
      <c r="B74" s="6" t="s">
        <v>228</v>
      </c>
      <c r="C74" s="6" t="str">
        <f t="shared" ca="1" si="28"/>
        <v>Shape Technologies</v>
      </c>
      <c r="D74" s="6" t="s">
        <v>222</v>
      </c>
      <c r="E74" s="61" t="str">
        <f t="shared" ca="1" si="29"/>
        <v>-</v>
      </c>
      <c r="F74" s="61" t="e">
        <f t="shared" ca="1" si="30"/>
        <v>#N/A</v>
      </c>
      <c r="G74" s="1" t="s">
        <v>218</v>
      </c>
      <c r="H74" s="1" t="s">
        <v>174</v>
      </c>
      <c r="J74" s="7" t="str">
        <f t="shared" ca="1" si="31"/>
        <v>Eric Im</v>
      </c>
      <c r="K74" s="62" t="s">
        <v>166</v>
      </c>
      <c r="M74" s="8"/>
      <c r="N74" s="8"/>
      <c r="O74" s="8" t="str">
        <f t="shared" ca="1" si="32"/>
        <v/>
      </c>
      <c r="P74" s="118" t="s">
        <v>313</v>
      </c>
      <c r="Q74" s="109"/>
    </row>
    <row r="75" spans="1:17" hidden="1">
      <c r="A75" s="5" t="s">
        <v>35</v>
      </c>
      <c r="B75" s="6" t="s">
        <v>35</v>
      </c>
      <c r="C75" s="108" t="str">
        <f t="shared" ca="1" si="28"/>
        <v>Southeast PowerGen</v>
      </c>
      <c r="D75" s="6" t="s">
        <v>221</v>
      </c>
      <c r="E75" s="61">
        <f t="shared" ca="1" si="29"/>
        <v>5</v>
      </c>
      <c r="F75" s="61" t="e">
        <f t="shared" ca="1" si="30"/>
        <v>#N/A</v>
      </c>
      <c r="G75" s="1" t="s">
        <v>186</v>
      </c>
      <c r="H75" s="1" t="s">
        <v>183</v>
      </c>
      <c r="I75" s="1" t="str">
        <f ca="1">IF(INDIRECT("'"&amp;A75&amp;"'!"&amp;$I$1)="","-",INDIRECT("'"&amp;A75&amp;"'!"&amp;$I$1))</f>
        <v>Carlyle and GE Energy Financial Services</v>
      </c>
      <c r="J75" s="7" t="str">
        <f t="shared" ca="1" si="31"/>
        <v>Eric Im</v>
      </c>
      <c r="K75" s="62" t="s">
        <v>166</v>
      </c>
      <c r="L75" s="12" t="s">
        <v>340</v>
      </c>
      <c r="M75" s="8"/>
      <c r="N75" s="8"/>
      <c r="O75" s="8" t="str">
        <f t="shared" ca="1" si="32"/>
        <v/>
      </c>
      <c r="P75" s="109" t="s">
        <v>315</v>
      </c>
      <c r="Q75" s="109"/>
    </row>
    <row r="76" spans="1:17">
      <c r="A76" s="5" t="s">
        <v>675</v>
      </c>
      <c r="B76" s="1" t="s">
        <v>675</v>
      </c>
      <c r="C76" s="108" t="str">
        <f t="shared" ca="1" si="28"/>
        <v>LaserShip Holdings, Inc.</v>
      </c>
      <c r="D76" s="109"/>
      <c r="E76" s="61">
        <f t="shared" ca="1" si="29"/>
        <v>3</v>
      </c>
      <c r="F76" s="61" t="str">
        <f t="shared" ca="1" si="30"/>
        <v>JEFF</v>
      </c>
      <c r="G76" s="1" t="s">
        <v>612</v>
      </c>
      <c r="H76" s="1" t="s">
        <v>176</v>
      </c>
      <c r="I76" s="1" t="str">
        <f ca="1">IF(INDIRECT("'"&amp;A76&amp;"'!"&amp;$I$1)="","-",INDIRECT("'"&amp;A76&amp;"'!"&amp;$I$1))</f>
        <v>American Securities</v>
      </c>
      <c r="J76" s="7" t="str">
        <f t="shared" ca="1" si="31"/>
        <v>Eric Im</v>
      </c>
      <c r="K76" s="62" t="s">
        <v>86</v>
      </c>
      <c r="L76" s="12" t="s">
        <v>340</v>
      </c>
      <c r="M76" s="8">
        <v>44350</v>
      </c>
      <c r="N76" s="8">
        <v>44350</v>
      </c>
      <c r="O76" s="8">
        <f t="shared" ca="1" si="32"/>
        <v>44255</v>
      </c>
      <c r="P76" s="108" t="s">
        <v>564</v>
      </c>
    </row>
    <row r="77" spans="1:17">
      <c r="A77" s="5" t="s">
        <v>29</v>
      </c>
      <c r="B77" s="6" t="s">
        <v>29</v>
      </c>
      <c r="C77" s="108" t="str">
        <f t="shared" ca="1" si="28"/>
        <v>Lightstone Generation</v>
      </c>
      <c r="D77" s="108" t="s">
        <v>222</v>
      </c>
      <c r="E77" s="61">
        <f t="shared" ca="1" si="29"/>
        <v>3</v>
      </c>
      <c r="F77" s="61" t="str">
        <f t="shared" ca="1" si="30"/>
        <v>CS/Cayman</v>
      </c>
      <c r="G77" s="1" t="s">
        <v>186</v>
      </c>
      <c r="H77" s="1" t="s">
        <v>183</v>
      </c>
      <c r="I77" s="1" t="str">
        <f ca="1">IF(INDIRECT("'"&amp;A77&amp;"'!"&amp;$I$1)="","-",INDIRECT("'"&amp;A77&amp;"'!"&amp;$I$1))</f>
        <v>Blackstone / Arclight</v>
      </c>
      <c r="J77" s="7" t="str">
        <f t="shared" ca="1" si="31"/>
        <v>Daniel Marcel</v>
      </c>
      <c r="K77" s="62" t="s">
        <v>86</v>
      </c>
      <c r="L77" s="12" t="s">
        <v>340</v>
      </c>
      <c r="M77" s="8">
        <v>44335</v>
      </c>
      <c r="N77" s="8">
        <v>44346</v>
      </c>
      <c r="O77" s="8">
        <f t="shared" ca="1" si="32"/>
        <v>44286</v>
      </c>
      <c r="P77" s="109" t="s">
        <v>632</v>
      </c>
      <c r="Q77" s="109"/>
    </row>
    <row r="78" spans="1:17" hidden="1">
      <c r="A78" s="59" t="s">
        <v>36</v>
      </c>
      <c r="B78" s="6" t="s">
        <v>36</v>
      </c>
      <c r="C78" s="6" t="str">
        <f t="shared" ca="1" si="28"/>
        <v>Talen Energy</v>
      </c>
      <c r="D78" s="6"/>
      <c r="E78" s="61" t="str">
        <f t="shared" ca="1" si="29"/>
        <v>-</v>
      </c>
      <c r="F78" s="61" t="e">
        <f t="shared" ca="1" si="30"/>
        <v>#N/A</v>
      </c>
      <c r="J78" s="7" t="str">
        <f t="shared" ca="1" si="31"/>
        <v>Eric Im</v>
      </c>
      <c r="K78" s="63" t="s">
        <v>166</v>
      </c>
      <c r="L78" s="63"/>
      <c r="M78" s="8"/>
      <c r="N78" s="8"/>
      <c r="O78" s="8" t="str">
        <f t="shared" ca="1" si="32"/>
        <v/>
      </c>
      <c r="P78" s="60"/>
      <c r="Q78" s="121"/>
    </row>
    <row r="79" spans="1:17" hidden="1">
      <c r="A79" s="59" t="s">
        <v>37</v>
      </c>
      <c r="B79" s="6" t="s">
        <v>37</v>
      </c>
      <c r="C79" s="6" t="str">
        <f t="shared" ca="1" si="28"/>
        <v>Tekni-Plex</v>
      </c>
      <c r="D79" s="6"/>
      <c r="E79" s="61" t="str">
        <f t="shared" ca="1" si="29"/>
        <v>-</v>
      </c>
      <c r="F79" s="61" t="e">
        <f t="shared" ca="1" si="30"/>
        <v>#N/A</v>
      </c>
      <c r="J79" s="7" t="str">
        <f t="shared" ca="1" si="31"/>
        <v>Daniel Marcel</v>
      </c>
      <c r="K79" s="63" t="s">
        <v>166</v>
      </c>
      <c r="L79" s="63"/>
      <c r="M79" s="8"/>
      <c r="N79" s="8"/>
      <c r="O79" s="8" t="str">
        <f t="shared" ca="1" si="32"/>
        <v/>
      </c>
      <c r="P79" s="60"/>
      <c r="Q79" s="121"/>
    </row>
    <row r="80" spans="1:17">
      <c r="A80" s="5" t="s">
        <v>30</v>
      </c>
      <c r="B80" s="6" t="s">
        <v>30</v>
      </c>
      <c r="C80" s="108" t="str">
        <f t="shared" ca="1" si="28"/>
        <v>Linden Cogeneration</v>
      </c>
      <c r="D80" s="108" t="s">
        <v>223</v>
      </c>
      <c r="E80" s="61">
        <f t="shared" ca="1" si="29"/>
        <v>3</v>
      </c>
      <c r="F80" s="61" t="str">
        <f t="shared" ca="1" si="30"/>
        <v>Morgan Stanley</v>
      </c>
      <c r="G80" s="1" t="s">
        <v>186</v>
      </c>
      <c r="H80" s="1" t="s">
        <v>183</v>
      </c>
      <c r="I80" s="1" t="str">
        <f t="shared" ref="I80:I86" ca="1" si="33">IF(INDIRECT("'"&amp;A80&amp;"'!"&amp;$I$1)="","-",INDIRECT("'"&amp;A80&amp;"'!"&amp;$I$1))</f>
        <v>Ares EIF / Oaktree (Highstar)</v>
      </c>
      <c r="J80" s="7" t="str">
        <f t="shared" ca="1" si="31"/>
        <v>Daniel Marcel</v>
      </c>
      <c r="K80" s="62" t="s">
        <v>86</v>
      </c>
      <c r="L80" s="12" t="s">
        <v>340</v>
      </c>
      <c r="M80" s="8">
        <v>44341</v>
      </c>
      <c r="N80" s="8">
        <v>44372</v>
      </c>
      <c r="O80" s="8">
        <f t="shared" ca="1" si="32"/>
        <v>44286</v>
      </c>
      <c r="P80" s="109" t="s">
        <v>655</v>
      </c>
      <c r="Q80" s="109"/>
    </row>
    <row r="81" spans="1:17">
      <c r="A81" s="5" t="s">
        <v>209</v>
      </c>
      <c r="B81" s="6" t="s">
        <v>209</v>
      </c>
      <c r="C81" s="108" t="str">
        <f ca="1">INDIRECT("'"&amp;B81&amp;"'!"&amp;$C$1)</f>
        <v>MB Aerospace</v>
      </c>
      <c r="D81" s="108" t="s">
        <v>222</v>
      </c>
      <c r="E81" s="61">
        <f t="shared" ca="1" si="29"/>
        <v>3</v>
      </c>
      <c r="F81" s="61" t="str">
        <f t="shared" ca="1" si="30"/>
        <v>RBC Capital Mkts</v>
      </c>
      <c r="G81" s="1" t="s">
        <v>185</v>
      </c>
      <c r="H81" s="1" t="s">
        <v>188</v>
      </c>
      <c r="I81" s="1" t="str">
        <f t="shared" ca="1" si="33"/>
        <v>Blackstone</v>
      </c>
      <c r="J81" s="7" t="str">
        <f t="shared" ca="1" si="31"/>
        <v>Eric Im</v>
      </c>
      <c r="K81" s="62" t="s">
        <v>86</v>
      </c>
      <c r="L81" s="12" t="s">
        <v>339</v>
      </c>
      <c r="M81" s="8">
        <v>44426</v>
      </c>
      <c r="N81" s="8">
        <v>44427</v>
      </c>
      <c r="O81" s="8">
        <f t="shared" ca="1" si="32"/>
        <v>44377</v>
      </c>
      <c r="P81" s="109" t="s">
        <v>686</v>
      </c>
      <c r="Q81" s="109"/>
    </row>
    <row r="82" spans="1:17">
      <c r="A82" s="5" t="s">
        <v>31</v>
      </c>
      <c r="B82" s="6" t="s">
        <v>31</v>
      </c>
      <c r="C82" s="6" t="str">
        <f ca="1">INDIRECT("'"&amp;$A82&amp;"'!"&amp;$C$1)</f>
        <v>Pike Corporation</v>
      </c>
      <c r="D82" s="108" t="s">
        <v>223</v>
      </c>
      <c r="E82" s="61">
        <f t="shared" ca="1" si="29"/>
        <v>3</v>
      </c>
      <c r="F82" s="61" t="str">
        <f t="shared" ca="1" si="30"/>
        <v>MS</v>
      </c>
      <c r="G82" s="1" t="s">
        <v>182</v>
      </c>
      <c r="H82" s="1" t="s">
        <v>187</v>
      </c>
      <c r="I82" s="1" t="str">
        <f t="shared" ca="1" si="33"/>
        <v>Pike Family, GPI Capital, ClearSky and NextEra</v>
      </c>
      <c r="J82" s="7" t="str">
        <f t="shared" ca="1" si="31"/>
        <v>Eric Im</v>
      </c>
      <c r="K82" s="62" t="s">
        <v>86</v>
      </c>
      <c r="L82" s="12" t="s">
        <v>340</v>
      </c>
      <c r="M82" s="8">
        <v>44334</v>
      </c>
      <c r="N82" s="8">
        <v>44370</v>
      </c>
      <c r="O82" s="8">
        <f t="shared" ca="1" si="32"/>
        <v>44286</v>
      </c>
      <c r="P82" s="109" t="s">
        <v>650</v>
      </c>
      <c r="Q82" s="108"/>
    </row>
    <row r="83" spans="1:17" hidden="1">
      <c r="A83" s="5" t="s">
        <v>213</v>
      </c>
      <c r="B83" s="6" t="s">
        <v>213</v>
      </c>
      <c r="C83" s="108" t="str">
        <f ca="1">INDIRECT("'"&amp;B83&amp;"'!"&amp;$C$1)</f>
        <v>TI Group Auto</v>
      </c>
      <c r="D83" s="83" t="s">
        <v>269</v>
      </c>
      <c r="E83" s="61">
        <f t="shared" ca="1" si="29"/>
        <v>3</v>
      </c>
      <c r="F83" s="61" t="str">
        <f t="shared" ca="1" si="30"/>
        <v>JP Morgan Chase</v>
      </c>
      <c r="G83" s="1" t="s">
        <v>192</v>
      </c>
      <c r="H83" s="1" t="s">
        <v>189</v>
      </c>
      <c r="I83" s="1" t="str">
        <f t="shared" ca="1" si="33"/>
        <v>Bain Capital</v>
      </c>
      <c r="J83" s="7" t="str">
        <f t="shared" ca="1" si="31"/>
        <v>Eric Im</v>
      </c>
      <c r="K83" s="62" t="s">
        <v>166</v>
      </c>
      <c r="L83" s="12" t="s">
        <v>339</v>
      </c>
      <c r="M83" s="8">
        <v>43685</v>
      </c>
      <c r="N83" s="8">
        <v>43691</v>
      </c>
      <c r="O83" s="8" t="str">
        <f t="shared" ca="1" si="32"/>
        <v/>
      </c>
      <c r="P83" s="109" t="s">
        <v>478</v>
      </c>
      <c r="Q83" s="108"/>
    </row>
    <row r="84" spans="1:17">
      <c r="A84" s="5" t="s">
        <v>32</v>
      </c>
      <c r="B84" s="6" t="s">
        <v>32</v>
      </c>
      <c r="C84" s="6" t="str">
        <f ca="1">INDIRECT("'"&amp;$A84&amp;"'!"&amp;$C$1)</f>
        <v>Power Buyer</v>
      </c>
      <c r="D84" s="109" t="s">
        <v>420</v>
      </c>
      <c r="E84" s="61">
        <f t="shared" ca="1" si="29"/>
        <v>3</v>
      </c>
      <c r="F84" s="61" t="str">
        <f t="shared" ca="1" si="30"/>
        <v>Credit Suisse; CS/Cayman</v>
      </c>
      <c r="G84" s="1" t="s">
        <v>191</v>
      </c>
      <c r="H84" s="1" t="s">
        <v>187</v>
      </c>
      <c r="I84" s="1" t="str">
        <f t="shared" ca="1" si="33"/>
        <v>Kelso &amp; Company</v>
      </c>
      <c r="J84" s="7" t="str">
        <f t="shared" ca="1" si="31"/>
        <v>Eric Im</v>
      </c>
      <c r="K84" s="62" t="s">
        <v>86</v>
      </c>
      <c r="L84" s="12" t="s">
        <v>340</v>
      </c>
      <c r="M84" s="8">
        <v>44356</v>
      </c>
      <c r="N84" s="8">
        <v>44375</v>
      </c>
      <c r="O84" s="8">
        <f t="shared" ca="1" si="32"/>
        <v>44286</v>
      </c>
      <c r="P84" s="109" t="s">
        <v>670</v>
      </c>
      <c r="Q84" s="109"/>
    </row>
    <row r="85" spans="1:17" hidden="1">
      <c r="A85" s="5" t="s">
        <v>276</v>
      </c>
      <c r="B85" s="84" t="s">
        <v>276</v>
      </c>
      <c r="C85" s="109" t="str">
        <f ca="1">INDIRECT("'"&amp;B85&amp;"'!"&amp;$C$1)</f>
        <v>Tenneco</v>
      </c>
      <c r="D85" s="123" t="s">
        <v>277</v>
      </c>
      <c r="E85" s="61">
        <f t="shared" ca="1" si="29"/>
        <v>3</v>
      </c>
      <c r="F85" s="61" t="str">
        <f t="shared" ca="1" si="30"/>
        <v>JP Morgan Chase</v>
      </c>
      <c r="G85" s="1" t="s">
        <v>192</v>
      </c>
      <c r="H85" s="1" t="s">
        <v>189</v>
      </c>
      <c r="I85" s="1" t="str">
        <f t="shared" ca="1" si="33"/>
        <v>Public (NYSE: TEN)</v>
      </c>
      <c r="J85" s="7" t="str">
        <f t="shared" ca="1" si="31"/>
        <v>Eric Im</v>
      </c>
      <c r="K85" s="62" t="s">
        <v>166</v>
      </c>
      <c r="L85" s="12" t="s">
        <v>340</v>
      </c>
      <c r="M85" s="8">
        <v>43882</v>
      </c>
      <c r="N85" s="8">
        <v>43888</v>
      </c>
      <c r="O85" s="8" t="str">
        <f t="shared" ca="1" si="32"/>
        <v/>
      </c>
      <c r="P85" s="109" t="s">
        <v>543</v>
      </c>
      <c r="Q85" s="108"/>
    </row>
    <row r="86" spans="1:17" hidden="1">
      <c r="A86" s="5" t="s">
        <v>97</v>
      </c>
      <c r="B86" s="6" t="s">
        <v>97</v>
      </c>
      <c r="C86" s="6" t="str">
        <f ca="1">INDIRECT("'"&amp;"Service King"&amp;"'!"&amp;$C$1)</f>
        <v>Service King</v>
      </c>
      <c r="D86" s="124" t="s">
        <v>223</v>
      </c>
      <c r="E86" s="61">
        <f t="shared" ca="1" si="29"/>
        <v>3</v>
      </c>
      <c r="F86" s="61" t="str">
        <f t="shared" ca="1" si="30"/>
        <v>Bank America NA</v>
      </c>
      <c r="G86" s="1" t="s">
        <v>179</v>
      </c>
      <c r="H86" s="1" t="s">
        <v>189</v>
      </c>
      <c r="I86" s="1" t="str">
        <f t="shared" ca="1" si="33"/>
        <v>Blackstone Group</v>
      </c>
      <c r="J86" s="7" t="str">
        <f t="shared" ca="1" si="31"/>
        <v>Eric Im</v>
      </c>
      <c r="K86" s="62" t="s">
        <v>166</v>
      </c>
      <c r="L86" s="12" t="s">
        <v>340</v>
      </c>
      <c r="M86" s="8">
        <v>44147</v>
      </c>
      <c r="N86" s="8">
        <v>44166</v>
      </c>
      <c r="O86" s="8" t="str">
        <f ca="1">IF(K86="done",INDIRECT("'"&amp;"Service King"&amp;"'!"&amp;$O$1),"")</f>
        <v/>
      </c>
      <c r="P86" s="109" t="s">
        <v>587</v>
      </c>
      <c r="Q86" s="109"/>
    </row>
    <row r="87" spans="1:17" hidden="1">
      <c r="A87" s="5" t="s">
        <v>39</v>
      </c>
      <c r="B87" s="6" t="s">
        <v>39</v>
      </c>
      <c r="C87" s="6" t="str">
        <f t="shared" ref="C87:C93" ca="1" si="34">INDIRECT("'"&amp;$A87&amp;"'!"&amp;$C$1)</f>
        <v>Vencore</v>
      </c>
      <c r="D87" s="6" t="s">
        <v>222</v>
      </c>
      <c r="E87" s="61">
        <f t="shared" ca="1" si="29"/>
        <v>4</v>
      </c>
      <c r="F87" s="61" t="e">
        <f t="shared" ca="1" si="30"/>
        <v>#N/A</v>
      </c>
      <c r="G87" s="1" t="s">
        <v>185</v>
      </c>
      <c r="H87" s="1" t="s">
        <v>188</v>
      </c>
      <c r="J87" s="7" t="str">
        <f t="shared" ca="1" si="31"/>
        <v>Eric Im</v>
      </c>
      <c r="K87" s="63" t="s">
        <v>166</v>
      </c>
      <c r="M87" s="8"/>
      <c r="N87" s="8"/>
      <c r="O87" s="8" t="str">
        <f t="shared" ref="O87:O93" ca="1" si="35">IF(K87="done",INDIRECT("'"&amp;A87&amp;"'!"&amp;$O$1),"")</f>
        <v/>
      </c>
    </row>
    <row r="88" spans="1:17">
      <c r="A88" s="80" t="s">
        <v>416</v>
      </c>
      <c r="B88" s="6" t="s">
        <v>416</v>
      </c>
      <c r="C88" s="108" t="str">
        <f t="shared" ca="1" si="34"/>
        <v>Power Solutions</v>
      </c>
      <c r="D88" s="109" t="s">
        <v>221</v>
      </c>
      <c r="E88" s="61">
        <f t="shared" ca="1" si="29"/>
        <v>3</v>
      </c>
      <c r="F88" s="61" t="str">
        <f t="shared" ca="1" si="30"/>
        <v>JP Morgan Chase</v>
      </c>
      <c r="G88" s="1" t="s">
        <v>192</v>
      </c>
      <c r="H88" s="1" t="s">
        <v>189</v>
      </c>
      <c r="I88" s="1" t="str">
        <f ca="1">IF(INDIRECT("'"&amp;A88&amp;"'!"&amp;$I$1)="","-",INDIRECT("'"&amp;A88&amp;"'!"&amp;$I$1))</f>
        <v>Brookfield Business Partners</v>
      </c>
      <c r="J88" s="7" t="str">
        <f t="shared" ca="1" si="31"/>
        <v>Eric Im</v>
      </c>
      <c r="K88" s="62" t="s">
        <v>86</v>
      </c>
      <c r="L88" s="12" t="s">
        <v>340</v>
      </c>
      <c r="M88" s="8">
        <v>44328</v>
      </c>
      <c r="N88" s="8">
        <v>44376</v>
      </c>
      <c r="O88" s="8">
        <f t="shared" ca="1" si="35"/>
        <v>44286</v>
      </c>
      <c r="P88" s="108" t="s">
        <v>672</v>
      </c>
    </row>
    <row r="89" spans="1:17" hidden="1">
      <c r="A89" s="5" t="s">
        <v>156</v>
      </c>
      <c r="B89" s="6" t="s">
        <v>156</v>
      </c>
      <c r="C89" s="108" t="str">
        <f t="shared" ca="1" si="34"/>
        <v>Waste Industries</v>
      </c>
      <c r="D89" s="6" t="s">
        <v>222</v>
      </c>
      <c r="E89" s="61">
        <f t="shared" ca="1" si="29"/>
        <v>3</v>
      </c>
      <c r="F89" s="61" t="e">
        <f t="shared" ca="1" si="30"/>
        <v>#N/A</v>
      </c>
      <c r="G89" s="1" t="s">
        <v>177</v>
      </c>
      <c r="H89" s="1" t="s">
        <v>180</v>
      </c>
      <c r="J89" s="7" t="str">
        <f t="shared" ca="1" si="31"/>
        <v>Eric Im</v>
      </c>
      <c r="K89" s="63" t="s">
        <v>166</v>
      </c>
      <c r="M89" s="8"/>
      <c r="N89" s="8"/>
      <c r="O89" s="8" t="str">
        <f t="shared" ca="1" si="35"/>
        <v/>
      </c>
      <c r="P89" s="109" t="s">
        <v>328</v>
      </c>
      <c r="Q89" s="109"/>
    </row>
    <row r="90" spans="1:17">
      <c r="A90" s="5" t="s">
        <v>155</v>
      </c>
      <c r="B90" s="6" t="s">
        <v>155</v>
      </c>
      <c r="C90" s="108" t="str">
        <f t="shared" ca="1" si="34"/>
        <v>PQ Corporation</v>
      </c>
      <c r="D90" s="108"/>
      <c r="E90" s="61" t="str">
        <f t="shared" ca="1" si="29"/>
        <v>-</v>
      </c>
      <c r="F90" s="61"/>
      <c r="J90" s="7" t="str">
        <f t="shared" ca="1" si="31"/>
        <v>Daniel Marcel</v>
      </c>
      <c r="K90" s="62" t="s">
        <v>86</v>
      </c>
      <c r="L90" s="12" t="s">
        <v>340</v>
      </c>
      <c r="M90" s="8">
        <v>44355</v>
      </c>
      <c r="N90" s="8">
        <v>44377</v>
      </c>
      <c r="O90" s="8">
        <f t="shared" ca="1" si="35"/>
        <v>44286</v>
      </c>
      <c r="P90" s="109" t="s">
        <v>676</v>
      </c>
      <c r="Q90" s="109"/>
    </row>
    <row r="91" spans="1:17">
      <c r="A91" s="5" t="s">
        <v>600</v>
      </c>
      <c r="B91" s="1" t="s">
        <v>600</v>
      </c>
      <c r="C91" s="108" t="str">
        <f t="shared" ca="1" si="34"/>
        <v>Protective Industrial Products</v>
      </c>
      <c r="D91" s="109"/>
      <c r="E91" s="61" t="str">
        <f t="shared" ca="1" si="29"/>
        <v>-</v>
      </c>
      <c r="F91" s="61" t="str">
        <f ca="1">IF(INDIRECT("'"&amp;B91&amp;"'!"&amp;$F$1)="","-",INDIRECT("'"&amp;B91&amp;"'!"&amp;$F$1))</f>
        <v>Antares</v>
      </c>
      <c r="G91" s="1" t="s">
        <v>598</v>
      </c>
      <c r="H91" s="1" t="s">
        <v>599</v>
      </c>
      <c r="I91" s="1" t="str">
        <f ca="1">IF(INDIRECT("'"&amp;A91&amp;"'!"&amp;$I$1)="","-",INDIRECT("'"&amp;A91&amp;"'!"&amp;$I$1))</f>
        <v>Odyssey Investment Partners</v>
      </c>
      <c r="J91" s="7" t="str">
        <f t="shared" ca="1" si="31"/>
        <v>Eric Im</v>
      </c>
      <c r="K91" s="62" t="s">
        <v>86</v>
      </c>
      <c r="L91" s="12" t="s">
        <v>340</v>
      </c>
      <c r="M91" s="8">
        <v>44351</v>
      </c>
      <c r="N91" s="8">
        <v>44355</v>
      </c>
      <c r="O91" s="8">
        <f t="shared" ca="1" si="35"/>
        <v>44316</v>
      </c>
      <c r="P91" s="108" t="s">
        <v>564</v>
      </c>
    </row>
    <row r="92" spans="1:17" hidden="1">
      <c r="A92" s="10" t="s">
        <v>302</v>
      </c>
      <c r="B92" s="11" t="s">
        <v>302</v>
      </c>
      <c r="C92" s="6" t="str">
        <f t="shared" ca="1" si="34"/>
        <v>United Rentals</v>
      </c>
      <c r="D92" s="123" t="s">
        <v>345</v>
      </c>
      <c r="E92" s="61">
        <f t="shared" ca="1" si="29"/>
        <v>2</v>
      </c>
      <c r="F92" s="61" t="str">
        <f ca="1">IF(INDIRECT("'"&amp;B92&amp;"'!"&amp;$F$1)="","-",INDIRECT("'"&amp;B92&amp;"'!"&amp;$F$1))</f>
        <v>Bank America NA</v>
      </c>
      <c r="G92" s="1" t="s">
        <v>195</v>
      </c>
      <c r="H92" s="1" t="s">
        <v>174</v>
      </c>
      <c r="I92" s="1" t="str">
        <f ca="1">IF(INDIRECT("'"&amp;A92&amp;"'!"&amp;$I$1)="","-",INDIRECT("'"&amp;A92&amp;"'!"&amp;$I$1))</f>
        <v>Public (ticker: URI)</v>
      </c>
      <c r="J92" s="7" t="str">
        <f t="shared" ca="1" si="31"/>
        <v>Eric Im</v>
      </c>
      <c r="K92" s="62" t="s">
        <v>166</v>
      </c>
      <c r="L92" s="12" t="s">
        <v>340</v>
      </c>
      <c r="M92" s="8">
        <v>44042</v>
      </c>
      <c r="N92" s="8">
        <v>44047</v>
      </c>
      <c r="O92" s="8" t="str">
        <f t="shared" ca="1" si="35"/>
        <v/>
      </c>
      <c r="P92" s="108" t="s">
        <v>568</v>
      </c>
      <c r="Q92" s="108"/>
    </row>
    <row r="93" spans="1:17">
      <c r="A93" s="5" t="s">
        <v>158</v>
      </c>
      <c r="B93" s="6" t="s">
        <v>158</v>
      </c>
      <c r="C93" s="6" t="str">
        <f t="shared" ca="1" si="34"/>
        <v>PSC Hydrochem</v>
      </c>
      <c r="D93" s="108" t="s">
        <v>223</v>
      </c>
      <c r="E93" s="61">
        <f t="shared" ca="1" si="29"/>
        <v>3</v>
      </c>
      <c r="F93" s="61" t="str">
        <f ca="1">IF(INDIRECT("'"&amp;B93&amp;"'!"&amp;$F$1)="","-",INDIRECT("'"&amp;B93&amp;"'!"&amp;$F$1))</f>
        <v>Goldman Sachs</v>
      </c>
      <c r="G93" s="1" t="s">
        <v>177</v>
      </c>
      <c r="H93" s="1" t="s">
        <v>180</v>
      </c>
      <c r="I93" s="1" t="str">
        <f ca="1">IF(INDIRECT("'"&amp;A93&amp;"'!"&amp;$I$1)="","-",INDIRECT("'"&amp;A93&amp;"'!"&amp;$I$1))</f>
        <v>Little John</v>
      </c>
      <c r="J93" s="7" t="str">
        <f t="shared" ca="1" si="31"/>
        <v>Eric Im</v>
      </c>
      <c r="K93" s="62" t="s">
        <v>86</v>
      </c>
      <c r="L93" s="12" t="s">
        <v>339</v>
      </c>
      <c r="M93" s="8">
        <v>44424</v>
      </c>
      <c r="N93" s="8">
        <v>44425</v>
      </c>
      <c r="O93" s="8">
        <f t="shared" ca="1" si="35"/>
        <v>44377</v>
      </c>
      <c r="P93" s="109" t="s">
        <v>688</v>
      </c>
      <c r="Q93" s="109"/>
    </row>
    <row r="94" spans="1:17" hidden="1">
      <c r="A94" s="11" t="s">
        <v>41</v>
      </c>
      <c r="E94" s="61"/>
      <c r="F94" s="61"/>
      <c r="J94" s="7"/>
      <c r="K94" s="62" t="s">
        <v>3</v>
      </c>
      <c r="M94" s="8"/>
      <c r="N94" s="8"/>
      <c r="O94" s="8" t="s">
        <v>3</v>
      </c>
    </row>
    <row r="95" spans="1:17" hidden="1">
      <c r="A95" t="s">
        <v>41</v>
      </c>
      <c r="E95" s="61"/>
      <c r="F95" s="61"/>
      <c r="J95" s="7"/>
      <c r="K95" s="62" t="s">
        <v>3</v>
      </c>
      <c r="M95" s="8"/>
      <c r="N95" s="8"/>
      <c r="O95" s="8" t="s">
        <v>3</v>
      </c>
    </row>
    <row r="96" spans="1:17" hidden="1">
      <c r="A96" s="5" t="s">
        <v>33</v>
      </c>
      <c r="B96" s="6" t="s">
        <v>33</v>
      </c>
      <c r="C96" s="6" t="str">
        <f ca="1">INDIRECT("'"&amp;$A96&amp;"'!"&amp;$C$1)</f>
        <v>Quality Distribution</v>
      </c>
      <c r="D96" s="123" t="s">
        <v>420</v>
      </c>
      <c r="E96" s="61">
        <f ca="1">IF(INDIRECT("'"&amp;B96&amp;"'!"&amp;$E$1)="","-",INDIRECT("'"&amp;B96&amp;"'!"&amp;$E$1))</f>
        <v>4</v>
      </c>
      <c r="F96" s="61" t="str">
        <f ca="1">IF(INDIRECT("'"&amp;B96&amp;"'!"&amp;$F$1)="","-",INDIRECT("'"&amp;B96&amp;"'!"&amp;$F$1))</f>
        <v>Jefferies</v>
      </c>
      <c r="G96" s="1" t="s">
        <v>190</v>
      </c>
      <c r="H96" s="1" t="s">
        <v>176</v>
      </c>
      <c r="I96" s="1" t="str">
        <f ca="1">IF(INDIRECT("'"&amp;A96&amp;"'!"&amp;$I$1)="","-",INDIRECT("'"&amp;A96&amp;"'!"&amp;$I$1))</f>
        <v>APAX</v>
      </c>
      <c r="J96" s="7" t="str">
        <f ca="1">IF(INDIRECT("'"&amp;B96&amp;"'!"&amp;$J$1)="","-",INDIRECT("'"&amp;B96&amp;"'!"&amp;$J$1))</f>
        <v>Eric Im</v>
      </c>
      <c r="K96" s="62" t="s">
        <v>166</v>
      </c>
      <c r="L96" s="12" t="s">
        <v>340</v>
      </c>
      <c r="M96" s="8">
        <v>44333</v>
      </c>
      <c r="N96" s="8">
        <v>44375</v>
      </c>
      <c r="O96" s="8" t="str">
        <f ca="1">IF(K96="done",INDIRECT("'"&amp;A96&amp;"'!"&amp;$O$1),"")</f>
        <v/>
      </c>
      <c r="P96" s="109" t="s">
        <v>657</v>
      </c>
      <c r="Q96" s="109"/>
    </row>
    <row r="97" spans="1:17">
      <c r="A97" s="5" t="s">
        <v>643</v>
      </c>
      <c r="B97" s="6" t="s">
        <v>643</v>
      </c>
      <c r="C97" s="108" t="str">
        <f ca="1">INDIRECT("'"&amp;$A97&amp;"'!"&amp;$C$1)</f>
        <v>Sabre Industries</v>
      </c>
      <c r="D97" s="109"/>
      <c r="E97" s="61">
        <f ca="1">IF(INDIRECT("'"&amp;B97&amp;"'!"&amp;$E$1)="","-",INDIRECT("'"&amp;B97&amp;"'!"&amp;$E$1))</f>
        <v>3</v>
      </c>
      <c r="F97" s="61" t="str">
        <f ca="1">IF(INDIRECT("'"&amp;B97&amp;"'!"&amp;$F$1)="","-",INDIRECT("'"&amp;B97&amp;"'!"&amp;$F$1))</f>
        <v>GS</v>
      </c>
      <c r="G97" s="1" t="s">
        <v>266</v>
      </c>
      <c r="H97" s="1" t="s">
        <v>174</v>
      </c>
      <c r="I97" s="1" t="str">
        <f ca="1">IF(INDIRECT("'"&amp;A97&amp;"'!"&amp;$I$1)="","-",INDIRECT("'"&amp;A97&amp;"'!"&amp;$I$1))</f>
        <v>Blackstone</v>
      </c>
      <c r="J97" s="7" t="str">
        <f ca="1">IF(INDIRECT("'"&amp;B97&amp;"'!"&amp;$J$1)="","-",INDIRECT("'"&amp;B97&amp;"'!"&amp;$J$1))</f>
        <v>Eric Im</v>
      </c>
      <c r="K97" s="62" t="s">
        <v>86</v>
      </c>
      <c r="L97" s="12" t="s">
        <v>340</v>
      </c>
      <c r="M97" s="8">
        <v>44350</v>
      </c>
      <c r="N97" s="8">
        <v>44350</v>
      </c>
      <c r="O97" s="8">
        <f ca="1">IF(K97="done",INDIRECT("'"&amp;A97&amp;"'!"&amp;$O$1),"")</f>
        <v>44227</v>
      </c>
      <c r="P97" s="108" t="s">
        <v>564</v>
      </c>
    </row>
    <row r="98" spans="1:17" hidden="1">
      <c r="A98" s="6"/>
      <c r="D98" s="6"/>
      <c r="E98" s="61"/>
      <c r="F98" s="61"/>
      <c r="J98" s="7"/>
      <c r="K98" s="62" t="s">
        <v>3</v>
      </c>
      <c r="M98" s="8"/>
      <c r="N98" s="8"/>
      <c r="O98" s="8" t="s">
        <v>3</v>
      </c>
    </row>
    <row r="99" spans="1:17" hidden="1">
      <c r="A99" s="6"/>
      <c r="D99" s="6"/>
      <c r="E99" s="61"/>
      <c r="F99" s="61"/>
      <c r="J99" s="7"/>
      <c r="K99" s="62" t="s">
        <v>3</v>
      </c>
      <c r="M99" s="8"/>
      <c r="N99" s="8"/>
      <c r="O99" s="8" t="s">
        <v>3</v>
      </c>
    </row>
    <row r="100" spans="1:17">
      <c r="A100" s="5" t="s">
        <v>211</v>
      </c>
      <c r="B100" s="6" t="s">
        <v>211</v>
      </c>
      <c r="C100" s="6" t="str">
        <f ca="1">INDIRECT("'"&amp;B100&amp;"'!"&amp;$C$1)</f>
        <v>Safe Fleet</v>
      </c>
      <c r="D100" s="108" t="s">
        <v>223</v>
      </c>
      <c r="E100" s="61">
        <f t="shared" ref="E100:E119" ca="1" si="36">IF(INDIRECT("'"&amp;B100&amp;"'!"&amp;$E$1)="","-",INDIRECT("'"&amp;B100&amp;"'!"&amp;$E$1))</f>
        <v>3</v>
      </c>
      <c r="F100" s="61" t="str">
        <f t="shared" ref="F100:F119" ca="1" si="37">IF(INDIRECT("'"&amp;B100&amp;"'!"&amp;$F$1)="","-",INDIRECT("'"&amp;B100&amp;"'!"&amp;$F$1))</f>
        <v>Goldman Sachs</v>
      </c>
      <c r="G100" s="1" t="s">
        <v>192</v>
      </c>
      <c r="H100" s="1" t="s">
        <v>189</v>
      </c>
      <c r="I100" s="1" t="str">
        <f t="shared" ref="I100:I119" ca="1" si="38">IF(INDIRECT("'"&amp;A100&amp;"'!"&amp;$I$1)="","-",INDIRECT("'"&amp;A100&amp;"'!"&amp;$I$1))</f>
        <v>Oak Hill</v>
      </c>
      <c r="J100" s="7" t="str">
        <f t="shared" ref="J100:J119" ca="1" si="39">IF(INDIRECT("'"&amp;B100&amp;"'!"&amp;$J$1)="","-",INDIRECT("'"&amp;B100&amp;"'!"&amp;$J$1))</f>
        <v>Eric Im</v>
      </c>
      <c r="K100" s="62" t="s">
        <v>86</v>
      </c>
      <c r="L100" s="12" t="s">
        <v>339</v>
      </c>
      <c r="M100" s="8">
        <v>44432</v>
      </c>
      <c r="N100" s="8">
        <v>44435</v>
      </c>
      <c r="O100" s="8">
        <f t="shared" ref="O100:O119" ca="1" si="40">IF(K100="done",INDIRECT("'"&amp;A100&amp;"'!"&amp;$O$1),"")</f>
        <v>44377</v>
      </c>
      <c r="P100" s="109" t="s">
        <v>691</v>
      </c>
      <c r="Q100" s="109"/>
    </row>
    <row r="101" spans="1:17">
      <c r="A101" s="5" t="s">
        <v>635</v>
      </c>
      <c r="B101" s="1" t="s">
        <v>635</v>
      </c>
      <c r="C101" s="108" t="str">
        <f ca="1">INDIRECT("'"&amp;$A101&amp;"'!"&amp;$C$1)</f>
        <v>Signature Aviation</v>
      </c>
      <c r="D101" s="109"/>
      <c r="E101" s="61">
        <f t="shared" ca="1" si="36"/>
        <v>2</v>
      </c>
      <c r="F101" s="61" t="str">
        <f t="shared" ca="1" si="37"/>
        <v>RBC</v>
      </c>
      <c r="G101" s="1" t="s">
        <v>636</v>
      </c>
      <c r="H101" s="1" t="s">
        <v>188</v>
      </c>
      <c r="I101" s="1" t="str">
        <f t="shared" ca="1" si="38"/>
        <v>Blackstone, GIP and Cascade Investment</v>
      </c>
      <c r="J101" s="7" t="str">
        <f t="shared" ca="1" si="39"/>
        <v>Eric Im</v>
      </c>
      <c r="K101" s="62" t="s">
        <v>86</v>
      </c>
      <c r="L101" s="12" t="s">
        <v>340</v>
      </c>
      <c r="M101" s="8">
        <v>44349</v>
      </c>
      <c r="N101" s="8">
        <v>44349</v>
      </c>
      <c r="O101" s="8">
        <f t="shared" ca="1" si="40"/>
        <v>44286</v>
      </c>
      <c r="P101" s="108" t="s">
        <v>564</v>
      </c>
    </row>
    <row r="102" spans="1:17">
      <c r="A102" s="5" t="s">
        <v>696</v>
      </c>
      <c r="B102" s="1" t="s">
        <v>696</v>
      </c>
      <c r="C102" s="108" t="str">
        <f ca="1">INDIRECT("'"&amp;$A102&amp;"'!"&amp;$C$1)</f>
        <v>Standard Industries</v>
      </c>
      <c r="E102" s="61">
        <f t="shared" ca="1" si="36"/>
        <v>2</v>
      </c>
      <c r="F102" s="61" t="str">
        <f t="shared" ca="1" si="37"/>
        <v>DB</v>
      </c>
      <c r="G102" s="1" t="s">
        <v>563</v>
      </c>
      <c r="H102" s="1" t="s">
        <v>187</v>
      </c>
      <c r="I102" s="1" t="str">
        <f t="shared" ca="1" si="38"/>
        <v>Private</v>
      </c>
      <c r="J102" s="7" t="str">
        <f t="shared" ca="1" si="39"/>
        <v>Eric Im</v>
      </c>
      <c r="K102" s="62" t="s">
        <v>86</v>
      </c>
      <c r="L102" s="12" t="s">
        <v>340</v>
      </c>
      <c r="M102" s="8">
        <v>44439</v>
      </c>
      <c r="N102" s="8">
        <v>44439</v>
      </c>
      <c r="O102" s="8">
        <f t="shared" ca="1" si="40"/>
        <v>44377</v>
      </c>
      <c r="P102" s="108" t="s">
        <v>564</v>
      </c>
    </row>
    <row r="103" spans="1:17">
      <c r="A103" s="5" t="s">
        <v>329</v>
      </c>
      <c r="B103" s="6" t="s">
        <v>329</v>
      </c>
      <c r="C103" s="6" t="str">
        <f ca="1">INDIRECT("'"&amp;$A103&amp;"'!"&amp;$C$1)</f>
        <v>StandardAero</v>
      </c>
      <c r="D103" s="109" t="s">
        <v>420</v>
      </c>
      <c r="E103" s="61">
        <f t="shared" ca="1" si="36"/>
        <v>3</v>
      </c>
      <c r="F103" s="61" t="str">
        <f t="shared" ca="1" si="37"/>
        <v>CS/Cayman</v>
      </c>
      <c r="G103" s="1" t="s">
        <v>188</v>
      </c>
      <c r="H103" s="1" t="s">
        <v>188</v>
      </c>
      <c r="I103" s="1" t="str">
        <f t="shared" ca="1" si="38"/>
        <v>Carlyle</v>
      </c>
      <c r="J103" s="7" t="str">
        <f t="shared" ca="1" si="39"/>
        <v>Eric Im</v>
      </c>
      <c r="K103" s="62" t="s">
        <v>86</v>
      </c>
      <c r="L103" s="12" t="s">
        <v>340</v>
      </c>
      <c r="M103" s="8">
        <v>44337</v>
      </c>
      <c r="N103" s="8">
        <v>44375</v>
      </c>
      <c r="O103" s="8">
        <f t="shared" ca="1" si="40"/>
        <v>44286</v>
      </c>
      <c r="P103" s="109" t="s">
        <v>668</v>
      </c>
    </row>
    <row r="104" spans="1:17">
      <c r="A104" s="80" t="s">
        <v>428</v>
      </c>
      <c r="B104" s="1" t="s">
        <v>428</v>
      </c>
      <c r="C104" s="108" t="str">
        <f ca="1">INDIRECT("'"&amp;$A104&amp;"'!"&amp;$C$1)</f>
        <v>Sundyne</v>
      </c>
      <c r="D104" s="109" t="s">
        <v>223</v>
      </c>
      <c r="E104" s="61">
        <f t="shared" ca="1" si="36"/>
        <v>3</v>
      </c>
      <c r="F104" s="61" t="str">
        <f t="shared" ca="1" si="37"/>
        <v>Morgan Stanley</v>
      </c>
      <c r="G104" s="1" t="s">
        <v>195</v>
      </c>
      <c r="H104" s="1" t="s">
        <v>174</v>
      </c>
      <c r="I104" s="1" t="str">
        <f t="shared" ca="1" si="38"/>
        <v>BC Partners, Carlyle</v>
      </c>
      <c r="J104" s="7" t="str">
        <f t="shared" ca="1" si="39"/>
        <v>Eric Im</v>
      </c>
      <c r="K104" s="62" t="s">
        <v>86</v>
      </c>
      <c r="L104" s="12" t="s">
        <v>340</v>
      </c>
      <c r="M104" s="8">
        <v>44315</v>
      </c>
      <c r="N104" s="8">
        <v>44317</v>
      </c>
      <c r="O104" s="8">
        <f t="shared" ca="1" si="40"/>
        <v>44286</v>
      </c>
      <c r="P104" s="109" t="s">
        <v>622</v>
      </c>
    </row>
    <row r="105" spans="1:17">
      <c r="A105" s="5" t="s">
        <v>562</v>
      </c>
      <c r="B105" s="1" t="s">
        <v>562</v>
      </c>
      <c r="C105" s="108" t="str">
        <f ca="1">INDIRECT("'"&amp;$A105&amp;"'!"&amp;$C$1)</f>
        <v>Thyssenkrupp Elevator</v>
      </c>
      <c r="D105" s="109" t="s">
        <v>420</v>
      </c>
      <c r="E105" s="61">
        <f t="shared" ca="1" si="36"/>
        <v>3</v>
      </c>
      <c r="F105" s="61" t="str">
        <f t="shared" ca="1" si="37"/>
        <v>US Syndication -- GS</v>
      </c>
      <c r="G105" s="1" t="s">
        <v>563</v>
      </c>
      <c r="H105" s="1" t="s">
        <v>187</v>
      </c>
      <c r="I105" s="1" t="str">
        <f t="shared" ca="1" si="38"/>
        <v>Advent &amp; Cinven</v>
      </c>
      <c r="J105" s="7" t="str">
        <f t="shared" ca="1" si="39"/>
        <v>Eric Im</v>
      </c>
      <c r="K105" s="62" t="s">
        <v>86</v>
      </c>
      <c r="L105" s="12" t="s">
        <v>340</v>
      </c>
      <c r="M105" s="8">
        <v>44368</v>
      </c>
      <c r="N105" s="8">
        <v>44373</v>
      </c>
      <c r="O105" s="8">
        <f t="shared" ca="1" si="40"/>
        <v>44286</v>
      </c>
      <c r="P105" s="108" t="s">
        <v>660</v>
      </c>
    </row>
    <row r="106" spans="1:17">
      <c r="A106" s="80" t="s">
        <v>410</v>
      </c>
      <c r="B106" s="6" t="s">
        <v>410</v>
      </c>
      <c r="C106" s="108" t="str">
        <f ca="1">INDIRECT("'"&amp;B106&amp;"'!"&amp;$C$1)</f>
        <v>TPF II Power</v>
      </c>
      <c r="D106" s="108" t="s">
        <v>223</v>
      </c>
      <c r="E106" s="61">
        <f t="shared" ca="1" si="36"/>
        <v>3</v>
      </c>
      <c r="F106" s="61" t="str">
        <f t="shared" ca="1" si="37"/>
        <v>Morgan Stan Sr</v>
      </c>
      <c r="G106" s="1" t="s">
        <v>186</v>
      </c>
      <c r="H106" s="1" t="s">
        <v>175</v>
      </c>
      <c r="I106" s="1" t="str">
        <f t="shared" ca="1" si="38"/>
        <v>Arclight</v>
      </c>
      <c r="J106" s="7" t="str">
        <f t="shared" ca="1" si="39"/>
        <v>Daniel Marcel</v>
      </c>
      <c r="K106" s="62" t="s">
        <v>86</v>
      </c>
      <c r="L106" s="12" t="s">
        <v>340</v>
      </c>
      <c r="M106" s="8">
        <v>44369</v>
      </c>
      <c r="N106" s="8">
        <v>44372</v>
      </c>
      <c r="O106" s="8">
        <f t="shared" ca="1" si="40"/>
        <v>44286</v>
      </c>
      <c r="P106" s="109" t="s">
        <v>657</v>
      </c>
    </row>
    <row r="107" spans="1:17" hidden="1">
      <c r="A107" s="10" t="s">
        <v>88</v>
      </c>
      <c r="B107" s="6" t="s">
        <v>88</v>
      </c>
      <c r="C107" s="108" t="str">
        <f t="shared" ref="C107:C119" ca="1" si="41">INDIRECT("'"&amp;$A107&amp;"'!"&amp;$C$1)</f>
        <v>Wheelabrator</v>
      </c>
      <c r="D107" s="124" t="s">
        <v>223</v>
      </c>
      <c r="E107" s="61">
        <f t="shared" ca="1" si="36"/>
        <v>3</v>
      </c>
      <c r="F107" s="61" t="str">
        <f t="shared" ca="1" si="37"/>
        <v>Deutsche Bank; Deutsche Bank NY</v>
      </c>
      <c r="G107" s="1" t="s">
        <v>177</v>
      </c>
      <c r="H107" s="1" t="s">
        <v>183</v>
      </c>
      <c r="I107" s="1" t="str">
        <f t="shared" ca="1" si="38"/>
        <v>Energy Capital Partners</v>
      </c>
      <c r="J107" s="7" t="str">
        <f t="shared" ca="1" si="39"/>
        <v>Daniel Marcel</v>
      </c>
      <c r="K107" s="62" t="s">
        <v>166</v>
      </c>
      <c r="L107" s="12" t="s">
        <v>340</v>
      </c>
      <c r="M107" s="8">
        <v>44162</v>
      </c>
      <c r="N107" s="8">
        <v>44198</v>
      </c>
      <c r="O107" s="8" t="str">
        <f t="shared" ca="1" si="40"/>
        <v/>
      </c>
      <c r="P107" s="109" t="s">
        <v>589</v>
      </c>
      <c r="Q107" s="109"/>
    </row>
    <row r="108" spans="1:17">
      <c r="A108" s="5" t="s">
        <v>38</v>
      </c>
      <c r="B108" s="6" t="s">
        <v>38</v>
      </c>
      <c r="C108" s="108" t="str">
        <f t="shared" ca="1" si="41"/>
        <v>TRC Companies</v>
      </c>
      <c r="D108" s="108" t="s">
        <v>222</v>
      </c>
      <c r="E108" s="61">
        <f t="shared" ca="1" si="36"/>
        <v>3</v>
      </c>
      <c r="F108" s="61" t="str">
        <f t="shared" ca="1" si="37"/>
        <v>UBS Securities</v>
      </c>
      <c r="G108" s="1" t="s">
        <v>184</v>
      </c>
      <c r="H108" s="1" t="s">
        <v>180</v>
      </c>
      <c r="I108" s="1" t="str">
        <f t="shared" ca="1" si="38"/>
        <v>New Mountain Capital</v>
      </c>
      <c r="J108" s="7" t="str">
        <f t="shared" ca="1" si="39"/>
        <v>Eric Im</v>
      </c>
      <c r="K108" s="62" t="s">
        <v>86</v>
      </c>
      <c r="L108" s="12" t="s">
        <v>339</v>
      </c>
      <c r="M108" s="8">
        <v>44326</v>
      </c>
      <c r="N108" s="8">
        <v>44328</v>
      </c>
      <c r="O108" s="8">
        <f t="shared" ca="1" si="40"/>
        <v>44286</v>
      </c>
      <c r="P108" s="109" t="s">
        <v>627</v>
      </c>
      <c r="Q108" s="109"/>
    </row>
    <row r="109" spans="1:17">
      <c r="A109" s="5" t="s">
        <v>597</v>
      </c>
      <c r="B109" s="1" t="s">
        <v>597</v>
      </c>
      <c r="C109" s="108" t="str">
        <f t="shared" ca="1" si="41"/>
        <v xml:space="preserve">Truck Hero </v>
      </c>
      <c r="D109" s="109"/>
      <c r="E109" s="61">
        <f t="shared" ca="1" si="36"/>
        <v>3</v>
      </c>
      <c r="F109" s="61" t="str">
        <f t="shared" ca="1" si="37"/>
        <v>JEFF</v>
      </c>
      <c r="G109" s="1" t="s">
        <v>192</v>
      </c>
      <c r="H109" s="1" t="s">
        <v>189</v>
      </c>
      <c r="I109" s="1" t="str">
        <f t="shared" ca="1" si="38"/>
        <v>L Catterton</v>
      </c>
      <c r="J109" s="7" t="str">
        <f t="shared" ca="1" si="39"/>
        <v>Eric Im</v>
      </c>
      <c r="K109" s="62" t="s">
        <v>86</v>
      </c>
      <c r="L109" s="12" t="s">
        <v>340</v>
      </c>
      <c r="M109" s="8">
        <v>44235</v>
      </c>
      <c r="N109" s="8">
        <v>44235</v>
      </c>
      <c r="O109" s="8">
        <f t="shared" ca="1" si="40"/>
        <v>44196</v>
      </c>
      <c r="P109" s="108" t="s">
        <v>564</v>
      </c>
    </row>
    <row r="110" spans="1:17">
      <c r="A110" s="80" t="s">
        <v>513</v>
      </c>
      <c r="B110" s="6" t="s">
        <v>513</v>
      </c>
      <c r="C110" s="108" t="str">
        <f t="shared" ca="1" si="41"/>
        <v>United Site Services (USS)</v>
      </c>
      <c r="D110" s="108" t="s">
        <v>222</v>
      </c>
      <c r="E110" s="61">
        <f t="shared" ca="1" si="36"/>
        <v>3</v>
      </c>
      <c r="F110" s="61" t="str">
        <f t="shared" ca="1" si="37"/>
        <v>Bank America NA</v>
      </c>
      <c r="G110" s="1" t="s">
        <v>182</v>
      </c>
      <c r="H110" s="1" t="s">
        <v>187</v>
      </c>
      <c r="I110" s="1" t="str">
        <f t="shared" ca="1" si="38"/>
        <v>Platinum Equity</v>
      </c>
      <c r="J110" s="7" t="str">
        <f t="shared" ca="1" si="39"/>
        <v>Eric Im</v>
      </c>
      <c r="K110" s="62" t="s">
        <v>86</v>
      </c>
      <c r="L110" s="12" t="s">
        <v>339</v>
      </c>
      <c r="M110" s="8">
        <v>44419</v>
      </c>
      <c r="N110" s="8">
        <v>44421</v>
      </c>
      <c r="O110" s="8">
        <f t="shared" ca="1" si="40"/>
        <v>44377</v>
      </c>
      <c r="P110" s="109" t="s">
        <v>686</v>
      </c>
      <c r="Q110" s="109"/>
    </row>
    <row r="111" spans="1:17">
      <c r="A111" s="5" t="s">
        <v>590</v>
      </c>
      <c r="B111" s="1" t="s">
        <v>590</v>
      </c>
      <c r="C111" s="108" t="str">
        <f t="shared" ca="1" si="41"/>
        <v>US LBM</v>
      </c>
      <c r="D111" s="109"/>
      <c r="E111" s="61">
        <f t="shared" ca="1" si="36"/>
        <v>3</v>
      </c>
      <c r="F111" s="61" t="str">
        <f t="shared" ca="1" si="37"/>
        <v>BARC</v>
      </c>
      <c r="G111" s="1" t="s">
        <v>563</v>
      </c>
      <c r="H111" s="1" t="s">
        <v>187</v>
      </c>
      <c r="I111" s="1" t="str">
        <f t="shared" ca="1" si="38"/>
        <v xml:space="preserve">Bain Capital </v>
      </c>
      <c r="J111" s="7" t="str">
        <f t="shared" ca="1" si="39"/>
        <v>Eric Im</v>
      </c>
      <c r="K111" s="62" t="s">
        <v>86</v>
      </c>
      <c r="L111" s="12" t="s">
        <v>340</v>
      </c>
      <c r="M111" s="8">
        <v>44217</v>
      </c>
      <c r="N111" s="8">
        <v>44217</v>
      </c>
      <c r="O111" s="8">
        <f t="shared" ca="1" si="40"/>
        <v>44286</v>
      </c>
      <c r="P111" s="108" t="s">
        <v>647</v>
      </c>
    </row>
    <row r="112" spans="1:17">
      <c r="A112" s="80" t="s">
        <v>409</v>
      </c>
      <c r="B112" s="6" t="s">
        <v>409</v>
      </c>
      <c r="C112" s="108" t="str">
        <f t="shared" ca="1" si="41"/>
        <v>Vantage Specialties</v>
      </c>
      <c r="D112" s="108" t="s">
        <v>223</v>
      </c>
      <c r="E112" s="61" t="str">
        <f t="shared" ca="1" si="36"/>
        <v>-</v>
      </c>
      <c r="F112" s="61" t="str">
        <f t="shared" ca="1" si="37"/>
        <v>Morgan Stan Sr</v>
      </c>
      <c r="G112" s="1" t="s">
        <v>341</v>
      </c>
      <c r="H112" s="1" t="s">
        <v>181</v>
      </c>
      <c r="I112" s="1" t="str">
        <f t="shared" ca="1" si="38"/>
        <v>H.I.G. Capital</v>
      </c>
      <c r="J112" s="7" t="str">
        <f t="shared" ca="1" si="39"/>
        <v>Daniel Marcel</v>
      </c>
      <c r="K112" s="62" t="s">
        <v>86</v>
      </c>
      <c r="L112" s="12" t="s">
        <v>340</v>
      </c>
      <c r="M112" s="8">
        <v>44328</v>
      </c>
      <c r="N112" s="8">
        <v>44346</v>
      </c>
      <c r="O112" s="8">
        <f t="shared" ca="1" si="40"/>
        <v>44286</v>
      </c>
      <c r="P112" s="109" t="s">
        <v>633</v>
      </c>
    </row>
    <row r="113" spans="1:17">
      <c r="A113" s="5" t="s">
        <v>40</v>
      </c>
      <c r="B113" s="6" t="s">
        <v>40</v>
      </c>
      <c r="C113" s="108" t="str">
        <f t="shared" ca="1" si="41"/>
        <v>Vistra Energy</v>
      </c>
      <c r="D113" s="108" t="s">
        <v>346</v>
      </c>
      <c r="E113" s="61">
        <f t="shared" ca="1" si="36"/>
        <v>3</v>
      </c>
      <c r="F113" s="61" t="str">
        <f t="shared" ca="1" si="37"/>
        <v>CS/Cayman; Deutsche Bank NY</v>
      </c>
      <c r="G113" s="1" t="s">
        <v>186</v>
      </c>
      <c r="H113" s="1" t="s">
        <v>183</v>
      </c>
      <c r="I113" s="1" t="str">
        <f t="shared" ca="1" si="38"/>
        <v>Public</v>
      </c>
      <c r="J113" s="7" t="str">
        <f t="shared" ca="1" si="39"/>
        <v>Daniel Marcel</v>
      </c>
      <c r="K113" s="62" t="s">
        <v>86</v>
      </c>
      <c r="L113" s="12" t="s">
        <v>340</v>
      </c>
      <c r="M113" s="8">
        <v>44253</v>
      </c>
      <c r="N113" s="8">
        <v>44272</v>
      </c>
      <c r="O113" s="8">
        <f t="shared" ca="1" si="40"/>
        <v>44196</v>
      </c>
      <c r="P113" s="108" t="s">
        <v>610</v>
      </c>
      <c r="Q113" s="109"/>
    </row>
    <row r="114" spans="1:17">
      <c r="A114" s="5" t="s">
        <v>248</v>
      </c>
      <c r="B114" s="6" t="s">
        <v>248</v>
      </c>
      <c r="C114" s="108" t="str">
        <f t="shared" ca="1" si="41"/>
        <v>Wastequip</v>
      </c>
      <c r="D114" s="109" t="s">
        <v>222</v>
      </c>
      <c r="E114" s="61">
        <f t="shared" ca="1" si="36"/>
        <v>3</v>
      </c>
      <c r="F114" s="61" t="str">
        <f t="shared" ca="1" si="37"/>
        <v>Barclays Bank</v>
      </c>
      <c r="G114" s="1" t="s">
        <v>249</v>
      </c>
      <c r="H114" s="1" t="s">
        <v>180</v>
      </c>
      <c r="I114" s="1" t="str">
        <f t="shared" ca="1" si="38"/>
        <v>H.I.G. Capital</v>
      </c>
      <c r="J114" s="7" t="str">
        <f t="shared" ca="1" si="39"/>
        <v>Eric Im</v>
      </c>
      <c r="K114" s="62" t="s">
        <v>86</v>
      </c>
      <c r="L114" s="12" t="s">
        <v>339</v>
      </c>
      <c r="M114" s="8">
        <v>44428</v>
      </c>
      <c r="N114" s="8">
        <v>44432</v>
      </c>
      <c r="O114" s="8">
        <f t="shared" ca="1" si="40"/>
        <v>44377</v>
      </c>
      <c r="P114" s="109" t="s">
        <v>688</v>
      </c>
      <c r="Q114" s="109"/>
    </row>
    <row r="115" spans="1:17">
      <c r="A115" s="5" t="s">
        <v>265</v>
      </c>
      <c r="B115" s="6" t="s">
        <v>265</v>
      </c>
      <c r="C115" s="108" t="str">
        <f t="shared" ca="1" si="41"/>
        <v>Westinghouse</v>
      </c>
      <c r="D115" s="109" t="s">
        <v>222</v>
      </c>
      <c r="E115" s="61" t="str">
        <f t="shared" ca="1" si="36"/>
        <v>-</v>
      </c>
      <c r="F115" s="61" t="str">
        <f t="shared" ca="1" si="37"/>
        <v>Credit Suisse; Goldman Sachs</v>
      </c>
      <c r="G115" s="1" t="s">
        <v>266</v>
      </c>
      <c r="H115" s="1" t="s">
        <v>183</v>
      </c>
      <c r="I115" s="1" t="str">
        <f t="shared" ca="1" si="38"/>
        <v>Brookfield</v>
      </c>
      <c r="J115" s="7" t="str">
        <f t="shared" ca="1" si="39"/>
        <v>Daniel Marcel</v>
      </c>
      <c r="K115" s="62" t="s">
        <v>86</v>
      </c>
      <c r="L115" s="12" t="s">
        <v>340</v>
      </c>
      <c r="M115" s="8">
        <v>44329</v>
      </c>
      <c r="N115" s="8">
        <v>44359</v>
      </c>
      <c r="O115" s="8">
        <f t="shared" ca="1" si="40"/>
        <v>44286</v>
      </c>
      <c r="P115" s="108" t="s">
        <v>648</v>
      </c>
      <c r="Q115" s="109"/>
    </row>
    <row r="116" spans="1:17">
      <c r="A116" s="80" t="s">
        <v>485</v>
      </c>
      <c r="B116" s="6" t="s">
        <v>485</v>
      </c>
      <c r="C116" s="108" t="str">
        <f t="shared" ca="1" si="41"/>
        <v>WestJet</v>
      </c>
      <c r="D116" s="108" t="s">
        <v>222</v>
      </c>
      <c r="E116" s="61">
        <f t="shared" ca="1" si="36"/>
        <v>2</v>
      </c>
      <c r="F116" s="61" t="str">
        <f t="shared" ca="1" si="37"/>
        <v>BARC</v>
      </c>
      <c r="G116" s="1" t="s">
        <v>480</v>
      </c>
      <c r="H116" s="1" t="s">
        <v>188</v>
      </c>
      <c r="I116" s="1" t="str">
        <f t="shared" ca="1" si="38"/>
        <v>Onex</v>
      </c>
      <c r="J116" s="7" t="str">
        <f t="shared" ca="1" si="39"/>
        <v>Eric Im</v>
      </c>
      <c r="K116" s="62" t="s">
        <v>86</v>
      </c>
      <c r="L116" s="12" t="s">
        <v>340</v>
      </c>
      <c r="M116" s="8">
        <v>44329</v>
      </c>
      <c r="N116" s="8">
        <v>44373</v>
      </c>
      <c r="O116" s="8">
        <f t="shared" ca="1" si="40"/>
        <v>44286</v>
      </c>
      <c r="P116" s="108" t="s">
        <v>662</v>
      </c>
      <c r="Q116" s="120" t="s">
        <v>537</v>
      </c>
    </row>
    <row r="117" spans="1:17">
      <c r="A117" s="5" t="s">
        <v>585</v>
      </c>
      <c r="B117" s="6" t="s">
        <v>585</v>
      </c>
      <c r="C117" s="108" t="str">
        <f t="shared" ca="1" si="41"/>
        <v xml:space="preserve">White Cap </v>
      </c>
      <c r="D117" s="108" t="s">
        <v>222</v>
      </c>
      <c r="E117" s="61">
        <f t="shared" ca="1" si="36"/>
        <v>3</v>
      </c>
      <c r="F117" s="61" t="str">
        <f t="shared" ca="1" si="37"/>
        <v>RBC</v>
      </c>
      <c r="G117" s="1" t="s">
        <v>207</v>
      </c>
      <c r="H117" s="1" t="s">
        <v>187</v>
      </c>
      <c r="I117" s="1" t="str">
        <f t="shared" ca="1" si="38"/>
        <v>CD&amp;R, Sterling Group</v>
      </c>
      <c r="J117" s="7" t="str">
        <f t="shared" ca="1" si="39"/>
        <v>Eric Im</v>
      </c>
      <c r="K117" s="62" t="s">
        <v>86</v>
      </c>
      <c r="L117" s="12" t="s">
        <v>340</v>
      </c>
      <c r="M117" s="8">
        <v>44364</v>
      </c>
      <c r="N117" s="8">
        <v>44374</v>
      </c>
      <c r="O117" s="8">
        <f t="shared" ca="1" si="40"/>
        <v>44318</v>
      </c>
      <c r="P117" s="108" t="s">
        <v>664</v>
      </c>
    </row>
    <row r="118" spans="1:17">
      <c r="A118" s="10" t="s">
        <v>42</v>
      </c>
      <c r="B118" s="6" t="s">
        <v>42</v>
      </c>
      <c r="C118" s="108" t="str">
        <f t="shared" ca="1" si="41"/>
        <v>WireCo WorldGroup</v>
      </c>
      <c r="D118" s="108" t="s">
        <v>223</v>
      </c>
      <c r="E118" s="61">
        <f t="shared" ca="1" si="36"/>
        <v>4</v>
      </c>
      <c r="F118" s="61" t="str">
        <f t="shared" ca="1" si="37"/>
        <v>Goldman Sachs</v>
      </c>
      <c r="G118" s="1" t="s">
        <v>173</v>
      </c>
      <c r="H118" s="1" t="s">
        <v>174</v>
      </c>
      <c r="I118" s="1" t="str">
        <f t="shared" ca="1" si="38"/>
        <v>Onex, Paine &amp; Partners</v>
      </c>
      <c r="J118" s="7" t="str">
        <f t="shared" ca="1" si="39"/>
        <v>Eric Im</v>
      </c>
      <c r="K118" s="62" t="s">
        <v>86</v>
      </c>
      <c r="L118" s="12" t="s">
        <v>340</v>
      </c>
      <c r="M118" s="8">
        <v>44322</v>
      </c>
      <c r="N118" s="8">
        <v>44371</v>
      </c>
      <c r="O118" s="8">
        <f t="shared" ca="1" si="40"/>
        <v>44286</v>
      </c>
      <c r="P118" s="108" t="s">
        <v>653</v>
      </c>
      <c r="Q118" s="109"/>
    </row>
    <row r="119" spans="1:17">
      <c r="A119" s="5" t="s">
        <v>43</v>
      </c>
      <c r="B119" s="6" t="s">
        <v>43</v>
      </c>
      <c r="C119" s="108" t="str">
        <f t="shared" ca="1" si="41"/>
        <v>XPO Logistics</v>
      </c>
      <c r="D119" s="108" t="s">
        <v>242</v>
      </c>
      <c r="E119" s="61">
        <f t="shared" ca="1" si="36"/>
        <v>3</v>
      </c>
      <c r="F119" s="61" t="str">
        <f t="shared" ca="1" si="37"/>
        <v>Morgan Stan Sr</v>
      </c>
      <c r="G119" s="1" t="s">
        <v>182</v>
      </c>
      <c r="H119" s="1" t="s">
        <v>176</v>
      </c>
      <c r="I119" s="1" t="str">
        <f t="shared" ca="1" si="38"/>
        <v>Public (ticker: XPO)</v>
      </c>
      <c r="J119" s="7" t="str">
        <f t="shared" ca="1" si="39"/>
        <v>Eric Im</v>
      </c>
      <c r="K119" s="62" t="s">
        <v>86</v>
      </c>
      <c r="L119" s="12" t="s">
        <v>339</v>
      </c>
      <c r="M119" s="8">
        <v>44412</v>
      </c>
      <c r="N119" s="8">
        <v>44418</v>
      </c>
      <c r="O119" s="8">
        <f t="shared" ca="1" si="40"/>
        <v>44377</v>
      </c>
      <c r="P119" s="108" t="s">
        <v>682</v>
      </c>
      <c r="Q119" s="108"/>
    </row>
    <row r="1048148" spans="2:2">
      <c r="B1048148" s="3"/>
    </row>
    <row r="1048236" spans="2:2">
      <c r="B1048236" s="11"/>
    </row>
    <row r="1048237" spans="2:2">
      <c r="B1048237" s="11"/>
    </row>
    <row r="1048238" spans="2:2">
      <c r="B1048238" s="11"/>
    </row>
    <row r="1048239" spans="2:2">
      <c r="B1048239" s="11"/>
    </row>
  </sheetData>
  <autoFilter ref="A2:Q118" xr:uid="{00000000-0009-0000-0000-000000000000}">
    <filterColumn colId="14">
      <filters>
        <dateGroupItem year="2021" dateTimeGrouping="year"/>
        <dateGroupItem year="2020" dateTimeGrouping="year"/>
      </filters>
    </filterColumn>
    <sortState xmlns:xlrd2="http://schemas.microsoft.com/office/spreadsheetml/2017/richdata2" ref="A6:Q119">
      <sortCondition ref="A2:A118"/>
    </sortState>
  </autoFilter>
  <conditionalFormatting sqref="A71:B71 G71:I71 B82 D82:I82 A83:I83 A72:I73 G85:I89 A9:B9 A23:B23 A40:B40 A42:B42 A74:B74 D74:I74 A18:B18 A85:B92 G91:I91 O75 A1:O5 D9:L9 D23:L23 A41:L41 D40:L40 D42:L42 A19:L22 D18:L18 L89:L92 A6:L8 L74:L83 K74:K76 M6:N67 O6:O65 D71 A75:I81 A10:L17 A24:L39 A43:L65 D85:D92">
    <cfRule type="expression" dxfId="429" priority="530">
      <formula>SEARCH("No Exposure",$K1)</formula>
    </cfRule>
  </conditionalFormatting>
  <conditionalFormatting sqref="A66:J67 E84:I84 J84:J88 O84 O66:O67 L67 K66:L66 A69:L69 K71:L73 M70:N73 L84:L88 A70:C70 E70:L70 O69:O70">
    <cfRule type="expression" dxfId="428" priority="527">
      <formula>SEARCH("no exposure",$K66)</formula>
    </cfRule>
  </conditionalFormatting>
  <conditionalFormatting sqref="C71">
    <cfRule type="expression" dxfId="427" priority="523">
      <formula>SEARCH("no exposure",$K71)</formula>
    </cfRule>
  </conditionalFormatting>
  <conditionalFormatting sqref="E71:F71">
    <cfRule type="expression" dxfId="426" priority="522">
      <formula>SEARCH("no exposure",$K71)</formula>
    </cfRule>
  </conditionalFormatting>
  <conditionalFormatting sqref="J71">
    <cfRule type="expression" dxfId="425" priority="521">
      <formula>SEARCH("no exposure",$K71)</formula>
    </cfRule>
  </conditionalFormatting>
  <conditionalFormatting sqref="O71">
    <cfRule type="expression" dxfId="424" priority="520">
      <formula>SEARCH("no exposure",$K71)</formula>
    </cfRule>
  </conditionalFormatting>
  <conditionalFormatting sqref="J72">
    <cfRule type="expression" dxfId="423" priority="518">
      <formula>SEARCH("no exposure",$K72)</formula>
    </cfRule>
  </conditionalFormatting>
  <conditionalFormatting sqref="O72">
    <cfRule type="expression" dxfId="422" priority="517">
      <formula>SEARCH("no exposure",$K72)</formula>
    </cfRule>
  </conditionalFormatting>
  <conditionalFormatting sqref="J73">
    <cfRule type="expression" dxfId="421" priority="515">
      <formula>SEARCH("no exposure",$K73)</formula>
    </cfRule>
  </conditionalFormatting>
  <conditionalFormatting sqref="O73">
    <cfRule type="expression" dxfId="420" priority="514">
      <formula>SEARCH("no exposure",$K73)</formula>
    </cfRule>
  </conditionalFormatting>
  <conditionalFormatting sqref="J74">
    <cfRule type="expression" dxfId="419" priority="513">
      <formula>SEARCH("no exposure",$K74)</formula>
    </cfRule>
  </conditionalFormatting>
  <conditionalFormatting sqref="J75">
    <cfRule type="expression" dxfId="418" priority="512">
      <formula>SEARCH("no exposure",$K75)</formula>
    </cfRule>
  </conditionalFormatting>
  <conditionalFormatting sqref="O74">
    <cfRule type="expression" dxfId="417" priority="509">
      <formula>SEARCH("no exposure",$K74)</formula>
    </cfRule>
  </conditionalFormatting>
  <conditionalFormatting sqref="O76">
    <cfRule type="expression" dxfId="416" priority="508">
      <formula>SEARCH("no exposure",$K76)</formula>
    </cfRule>
  </conditionalFormatting>
  <conditionalFormatting sqref="J76">
    <cfRule type="expression" dxfId="415" priority="507">
      <formula>SEARCH("no exposure",$K76)</formula>
    </cfRule>
  </conditionalFormatting>
  <conditionalFormatting sqref="J77">
    <cfRule type="expression" dxfId="414" priority="506">
      <formula>SEARCH("no exposure",$K77)</formula>
    </cfRule>
  </conditionalFormatting>
  <conditionalFormatting sqref="O77">
    <cfRule type="expression" dxfId="413" priority="504">
      <formula>SEARCH("no exposure",$K77)</formula>
    </cfRule>
  </conditionalFormatting>
  <conditionalFormatting sqref="J78">
    <cfRule type="expression" dxfId="412" priority="496">
      <formula>SEARCH("no exposure",$K78)</formula>
    </cfRule>
  </conditionalFormatting>
  <conditionalFormatting sqref="K78">
    <cfRule type="expression" dxfId="411" priority="495">
      <formula>SEARCH("No Exposure",$K78)</formula>
    </cfRule>
  </conditionalFormatting>
  <conditionalFormatting sqref="O78">
    <cfRule type="expression" dxfId="410" priority="494">
      <formula>SEARCH("no exposure",$K78)</formula>
    </cfRule>
  </conditionalFormatting>
  <conditionalFormatting sqref="J79">
    <cfRule type="expression" dxfId="409" priority="493">
      <formula>SEARCH("no exposure",$K79)</formula>
    </cfRule>
  </conditionalFormatting>
  <conditionalFormatting sqref="K79">
    <cfRule type="expression" dxfId="408" priority="492">
      <formula>SEARCH("No Exposure",$K79)</formula>
    </cfRule>
  </conditionalFormatting>
  <conditionalFormatting sqref="O79">
    <cfRule type="expression" dxfId="407" priority="491">
      <formula>SEARCH("no exposure",$K79)</formula>
    </cfRule>
  </conditionalFormatting>
  <conditionalFormatting sqref="J80">
    <cfRule type="expression" dxfId="406" priority="489">
      <formula>SEARCH("no exposure",$K80)</formula>
    </cfRule>
  </conditionalFormatting>
  <conditionalFormatting sqref="K80">
    <cfRule type="expression" dxfId="405" priority="488">
      <formula>SEARCH("No Exposure",$K80)</formula>
    </cfRule>
  </conditionalFormatting>
  <conditionalFormatting sqref="O80">
    <cfRule type="expression" dxfId="404" priority="487">
      <formula>SEARCH("no exposure",$K80)</formula>
    </cfRule>
  </conditionalFormatting>
  <conditionalFormatting sqref="K67">
    <cfRule type="expression" dxfId="403" priority="486">
      <formula>SEARCH("No Exposure",$K67)</formula>
    </cfRule>
  </conditionalFormatting>
  <conditionalFormatting sqref="J81">
    <cfRule type="expression" dxfId="402" priority="485">
      <formula>SEARCH("no exposure",$K81)</formula>
    </cfRule>
  </conditionalFormatting>
  <conditionalFormatting sqref="O81">
    <cfRule type="expression" dxfId="401" priority="484">
      <formula>SEARCH("no exposure",$K81)</formula>
    </cfRule>
  </conditionalFormatting>
  <conditionalFormatting sqref="K81">
    <cfRule type="expression" dxfId="400" priority="479">
      <formula>SEARCH("No Exposure",$K81)</formula>
    </cfRule>
  </conditionalFormatting>
  <conditionalFormatting sqref="J82">
    <cfRule type="expression" dxfId="399" priority="478">
      <formula>SEARCH("no exposure",$K82)</formula>
    </cfRule>
  </conditionalFormatting>
  <conditionalFormatting sqref="C82">
    <cfRule type="expression" dxfId="398" priority="476">
      <formula>SEARCH("No Exposure",$K82)</formula>
    </cfRule>
  </conditionalFormatting>
  <conditionalFormatting sqref="O82">
    <cfRule type="expression" dxfId="397" priority="474">
      <formula>SEARCH("no exposure",$K82)</formula>
    </cfRule>
  </conditionalFormatting>
  <conditionalFormatting sqref="K82">
    <cfRule type="expression" dxfId="396" priority="469">
      <formula>SEARCH("No Exposure",$K82)</formula>
    </cfRule>
  </conditionalFormatting>
  <conditionalFormatting sqref="J83">
    <cfRule type="expression" dxfId="395" priority="467">
      <formula>SEARCH("no exposure",$K83)</formula>
    </cfRule>
  </conditionalFormatting>
  <conditionalFormatting sqref="O83">
    <cfRule type="expression" dxfId="394" priority="465">
      <formula>SEARCH("no exposure",$K83)</formula>
    </cfRule>
  </conditionalFormatting>
  <conditionalFormatting sqref="K83">
    <cfRule type="expression" dxfId="393" priority="464">
      <formula>SEARCH("No Exposure",$K83)</formula>
    </cfRule>
  </conditionalFormatting>
  <conditionalFormatting sqref="A84:B84">
    <cfRule type="expression" dxfId="392" priority="463">
      <formula>SEARCH("no exposure",$K84)</formula>
    </cfRule>
  </conditionalFormatting>
  <conditionalFormatting sqref="K84">
    <cfRule type="expression" dxfId="391" priority="462">
      <formula>SEARCH("No Exposure",$K84)</formula>
    </cfRule>
  </conditionalFormatting>
  <conditionalFormatting sqref="C85">
    <cfRule type="expression" dxfId="390" priority="460">
      <formula>SEARCH("no exposure",$K85)</formula>
    </cfRule>
  </conditionalFormatting>
  <conditionalFormatting sqref="E85:F85">
    <cfRule type="expression" dxfId="389" priority="459">
      <formula>SEARCH("no exposure",$K85)</formula>
    </cfRule>
  </conditionalFormatting>
  <conditionalFormatting sqref="O85">
    <cfRule type="expression" dxfId="388" priority="458">
      <formula>SEARCH("no exposure",$K85)</formula>
    </cfRule>
  </conditionalFormatting>
  <conditionalFormatting sqref="K85">
    <cfRule type="expression" dxfId="387" priority="457">
      <formula>SEARCH("No Exposure",$K85)</formula>
    </cfRule>
  </conditionalFormatting>
  <conditionalFormatting sqref="C86">
    <cfRule type="expression" dxfId="386" priority="456">
      <formula>SEARCH("no exposure",$K86)</formula>
    </cfRule>
  </conditionalFormatting>
  <conditionalFormatting sqref="E86:F86">
    <cfRule type="expression" dxfId="385" priority="455">
      <formula>SEARCH("no exposure",$K86)</formula>
    </cfRule>
  </conditionalFormatting>
  <conditionalFormatting sqref="O86">
    <cfRule type="expression" dxfId="384" priority="454">
      <formula>SEARCH("no exposure",$K86)</formula>
    </cfRule>
  </conditionalFormatting>
  <conditionalFormatting sqref="K86">
    <cfRule type="expression" dxfId="383" priority="453">
      <formula>SEARCH("No Exposure",$K86)</formula>
    </cfRule>
  </conditionalFormatting>
  <conditionalFormatting sqref="C87">
    <cfRule type="expression" dxfId="382" priority="452">
      <formula>SEARCH("no exposure",$K87)</formula>
    </cfRule>
  </conditionalFormatting>
  <conditionalFormatting sqref="E87:F87">
    <cfRule type="expression" dxfId="381" priority="451">
      <formula>SEARCH("no exposure",$K87)</formula>
    </cfRule>
  </conditionalFormatting>
  <conditionalFormatting sqref="O87">
    <cfRule type="expression" dxfId="380" priority="450">
      <formula>SEARCH("no exposure",$K87)</formula>
    </cfRule>
  </conditionalFormatting>
  <conditionalFormatting sqref="K87">
    <cfRule type="expression" dxfId="379" priority="449">
      <formula>SEARCH("No Exposure",$K87)</formula>
    </cfRule>
  </conditionalFormatting>
  <conditionalFormatting sqref="C88:C89">
    <cfRule type="expression" dxfId="378" priority="448">
      <formula>SEARCH("no exposure",$K88)</formula>
    </cfRule>
  </conditionalFormatting>
  <conditionalFormatting sqref="E88:F88">
    <cfRule type="expression" dxfId="377" priority="447">
      <formula>SEARCH("no exposure",$K88)</formula>
    </cfRule>
  </conditionalFormatting>
  <conditionalFormatting sqref="O88">
    <cfRule type="expression" dxfId="376" priority="446">
      <formula>SEARCH("no exposure",$K88)</formula>
    </cfRule>
  </conditionalFormatting>
  <conditionalFormatting sqref="K88">
    <cfRule type="expression" dxfId="375" priority="445">
      <formula>SEARCH("No Exposure",$K88)</formula>
    </cfRule>
  </conditionalFormatting>
  <conditionalFormatting sqref="E89">
    <cfRule type="expression" dxfId="374" priority="444">
      <formula>SEARCH("no exposure",$K89)</formula>
    </cfRule>
  </conditionalFormatting>
  <conditionalFormatting sqref="F89">
    <cfRule type="expression" dxfId="373" priority="443">
      <formula>SEARCH("no exposure",$K89)</formula>
    </cfRule>
  </conditionalFormatting>
  <conditionalFormatting sqref="J89">
    <cfRule type="expression" dxfId="372" priority="442">
      <formula>SEARCH("no exposure",$K89)</formula>
    </cfRule>
  </conditionalFormatting>
  <conditionalFormatting sqref="K89">
    <cfRule type="expression" dxfId="371" priority="441">
      <formula>SEARCH("No Exposure",$K89)</formula>
    </cfRule>
  </conditionalFormatting>
  <conditionalFormatting sqref="O89">
    <cfRule type="expression" dxfId="370" priority="440">
      <formula>SEARCH("no exposure",$K89)</formula>
    </cfRule>
  </conditionalFormatting>
  <conditionalFormatting sqref="P23">
    <cfRule type="expression" dxfId="369" priority="438">
      <formula>SEARCH("No Exposure",$K23)</formula>
    </cfRule>
  </conditionalFormatting>
  <conditionalFormatting sqref="C9">
    <cfRule type="expression" dxfId="368" priority="434">
      <formula>SEARCH("No Exposure",$K9)</formula>
    </cfRule>
  </conditionalFormatting>
  <conditionalFormatting sqref="C23">
    <cfRule type="expression" dxfId="367" priority="433">
      <formula>SEARCH("No Exposure",$K23)</formula>
    </cfRule>
  </conditionalFormatting>
  <conditionalFormatting sqref="C40">
    <cfRule type="expression" dxfId="366" priority="432">
      <formula>SEARCH("No Exposure",$K40)</formula>
    </cfRule>
  </conditionalFormatting>
  <conditionalFormatting sqref="C42">
    <cfRule type="expression" dxfId="365" priority="431">
      <formula>SEARCH("No Exposure",$K42)</formula>
    </cfRule>
  </conditionalFormatting>
  <conditionalFormatting sqref="C74">
    <cfRule type="expression" dxfId="364" priority="429">
      <formula>SEARCH("No Exposure",$K74)</formula>
    </cfRule>
  </conditionalFormatting>
  <conditionalFormatting sqref="C18">
    <cfRule type="expression" dxfId="363" priority="423">
      <formula>SEARCH("No Exposure",$K18)</formula>
    </cfRule>
  </conditionalFormatting>
  <conditionalFormatting sqref="P87">
    <cfRule type="expression" dxfId="362" priority="421">
      <formula>SEARCH("No Exposure",$K87)</formula>
    </cfRule>
  </conditionalFormatting>
  <conditionalFormatting sqref="C90">
    <cfRule type="expression" dxfId="361" priority="416">
      <formula>SEARCH("no exposure",$K90)</formula>
    </cfRule>
  </conditionalFormatting>
  <conditionalFormatting sqref="E90">
    <cfRule type="expression" dxfId="360" priority="415">
      <formula>SEARCH("no exposure",$K90)</formula>
    </cfRule>
  </conditionalFormatting>
  <conditionalFormatting sqref="F90">
    <cfRule type="expression" dxfId="359" priority="414">
      <formula>SEARCH("no exposure",$K90)</formula>
    </cfRule>
  </conditionalFormatting>
  <conditionalFormatting sqref="G90:I90">
    <cfRule type="expression" dxfId="358" priority="413">
      <formula>SEARCH("No Exposure",$K90)</formula>
    </cfRule>
  </conditionalFormatting>
  <conditionalFormatting sqref="J90">
    <cfRule type="expression" dxfId="357" priority="412">
      <formula>SEARCH("no exposure",$K90)</formula>
    </cfRule>
  </conditionalFormatting>
  <conditionalFormatting sqref="K90">
    <cfRule type="expression" dxfId="356" priority="411">
      <formula>SEARCH("No Exposure",$K90)</formula>
    </cfRule>
  </conditionalFormatting>
  <conditionalFormatting sqref="O90">
    <cfRule type="expression" dxfId="355" priority="410">
      <formula>SEARCH("no exposure",$K90)</formula>
    </cfRule>
  </conditionalFormatting>
  <conditionalFormatting sqref="C91">
    <cfRule type="expression" dxfId="354" priority="406">
      <formula>SEARCH("no exposure",$K91)</formula>
    </cfRule>
  </conditionalFormatting>
  <conditionalFormatting sqref="E91">
    <cfRule type="expression" dxfId="353" priority="405">
      <formula>SEARCH("no exposure",$K91)</formula>
    </cfRule>
  </conditionalFormatting>
  <conditionalFormatting sqref="F91">
    <cfRule type="expression" dxfId="352" priority="404">
      <formula>SEARCH("no exposure",$K91)</formula>
    </cfRule>
  </conditionalFormatting>
  <conditionalFormatting sqref="J91">
    <cfRule type="expression" dxfId="351" priority="403">
      <formula>SEARCH("no exposure",$K91)</formula>
    </cfRule>
  </conditionalFormatting>
  <conditionalFormatting sqref="K91">
    <cfRule type="expression" dxfId="350" priority="402">
      <formula>SEARCH("No Exposure",$K91)</formula>
    </cfRule>
  </conditionalFormatting>
  <conditionalFormatting sqref="O91">
    <cfRule type="expression" dxfId="349" priority="401">
      <formula>SEARCH("no exposure",$K91)</formula>
    </cfRule>
  </conditionalFormatting>
  <conditionalFormatting sqref="P91">
    <cfRule type="expression" dxfId="348" priority="400">
      <formula>SEARCH("No Exposure",$K91)</formula>
    </cfRule>
  </conditionalFormatting>
  <conditionalFormatting sqref="C92">
    <cfRule type="expression" dxfId="347" priority="399">
      <formula>SEARCH("no exposure",$K92)</formula>
    </cfRule>
  </conditionalFormatting>
  <conditionalFormatting sqref="E92">
    <cfRule type="expression" dxfId="346" priority="398">
      <formula>SEARCH("no exposure",$K92)</formula>
    </cfRule>
  </conditionalFormatting>
  <conditionalFormatting sqref="F92">
    <cfRule type="expression" dxfId="345" priority="397">
      <formula>SEARCH("no exposure",$K92)</formula>
    </cfRule>
  </conditionalFormatting>
  <conditionalFormatting sqref="J92">
    <cfRule type="expression" dxfId="344" priority="396">
      <formula>SEARCH("no exposure",$K92)</formula>
    </cfRule>
  </conditionalFormatting>
  <conditionalFormatting sqref="K92">
    <cfRule type="expression" dxfId="343" priority="395">
      <formula>SEARCH("No Exposure",$K92)</formula>
    </cfRule>
  </conditionalFormatting>
  <conditionalFormatting sqref="O92">
    <cfRule type="expression" dxfId="342" priority="394">
      <formula>SEARCH("no exposure",$K92)</formula>
    </cfRule>
  </conditionalFormatting>
  <conditionalFormatting sqref="G92">
    <cfRule type="expression" dxfId="341" priority="393">
      <formula>SEARCH("No Exposure",$K92)</formula>
    </cfRule>
  </conditionalFormatting>
  <conditionalFormatting sqref="H92:I92">
    <cfRule type="expression" dxfId="340" priority="392">
      <formula>SEARCH("No Exposure",$K92)</formula>
    </cfRule>
  </conditionalFormatting>
  <conditionalFormatting sqref="C93">
    <cfRule type="expression" dxfId="339" priority="390">
      <formula>SEARCH("no exposure",$K93)</formula>
    </cfRule>
  </conditionalFormatting>
  <conditionalFormatting sqref="E93">
    <cfRule type="expression" dxfId="338" priority="389">
      <formula>SEARCH("no exposure",$K93)</formula>
    </cfRule>
  </conditionalFormatting>
  <conditionalFormatting sqref="F93">
    <cfRule type="expression" dxfId="337" priority="388">
      <formula>SEARCH("no exposure",$K93)</formula>
    </cfRule>
  </conditionalFormatting>
  <conditionalFormatting sqref="J93">
    <cfRule type="expression" dxfId="336" priority="387">
      <formula>SEARCH("no exposure",$K93)</formula>
    </cfRule>
  </conditionalFormatting>
  <conditionalFormatting sqref="K93">
    <cfRule type="expression" dxfId="335" priority="386">
      <formula>SEARCH("No Exposure",$K93)</formula>
    </cfRule>
  </conditionalFormatting>
  <conditionalFormatting sqref="O93">
    <cfRule type="expression" dxfId="334" priority="385">
      <formula>SEARCH("no exposure",$K93)</formula>
    </cfRule>
  </conditionalFormatting>
  <conditionalFormatting sqref="E94">
    <cfRule type="expression" dxfId="333" priority="383">
      <formula>SEARCH("no exposure",$K94)</formula>
    </cfRule>
  </conditionalFormatting>
  <conditionalFormatting sqref="F94">
    <cfRule type="expression" dxfId="332" priority="382">
      <formula>SEARCH("no exposure",$K94)</formula>
    </cfRule>
  </conditionalFormatting>
  <conditionalFormatting sqref="J94">
    <cfRule type="expression" dxfId="331" priority="381">
      <formula>SEARCH("no exposure",$K94)</formula>
    </cfRule>
  </conditionalFormatting>
  <conditionalFormatting sqref="K94">
    <cfRule type="expression" dxfId="330" priority="380">
      <formula>SEARCH("No Exposure",$K94)</formula>
    </cfRule>
  </conditionalFormatting>
  <conditionalFormatting sqref="K77">
    <cfRule type="expression" dxfId="329" priority="378">
      <formula>SEARCH("No Exposure",$K77)</formula>
    </cfRule>
  </conditionalFormatting>
  <conditionalFormatting sqref="Q9">
    <cfRule type="expression" dxfId="328" priority="377">
      <formula>SEARCH("No Exposure",$K9)</formula>
    </cfRule>
  </conditionalFormatting>
  <conditionalFormatting sqref="Q23">
    <cfRule type="expression" dxfId="327" priority="376">
      <formula>SEARCH("No Exposure",$K23)</formula>
    </cfRule>
  </conditionalFormatting>
  <conditionalFormatting sqref="Q40">
    <cfRule type="expression" dxfId="326" priority="375">
      <formula>SEARCH("No Exposure",$K40)</formula>
    </cfRule>
  </conditionalFormatting>
  <conditionalFormatting sqref="Q42">
    <cfRule type="expression" dxfId="325" priority="374">
      <formula>SEARCH("No Exposure",$K42)</formula>
    </cfRule>
  </conditionalFormatting>
  <conditionalFormatting sqref="Q84">
    <cfRule type="expression" dxfId="324" priority="373">
      <formula>SEARCH("No Exposure",$K84)</formula>
    </cfRule>
  </conditionalFormatting>
  <conditionalFormatting sqref="Q32">
    <cfRule type="expression" dxfId="323" priority="372">
      <formula>SEARCH("No Exposure",$K32)</formula>
    </cfRule>
  </conditionalFormatting>
  <conditionalFormatting sqref="Q46">
    <cfRule type="expression" dxfId="322" priority="371">
      <formula>SEARCH("No Exposure",$K46)</formula>
    </cfRule>
  </conditionalFormatting>
  <conditionalFormatting sqref="Q89">
    <cfRule type="expression" dxfId="321" priority="369">
      <formula>SEARCH("No Exposure",$K89)</formula>
    </cfRule>
  </conditionalFormatting>
  <conditionalFormatting sqref="Q18">
    <cfRule type="expression" dxfId="320" priority="368">
      <formula>SEARCH("No Exposure",$K18)</formula>
    </cfRule>
  </conditionalFormatting>
  <conditionalFormatting sqref="Q54">
    <cfRule type="expression" dxfId="319" priority="367">
      <formula>SEARCH("No Exposure",$K54)</formula>
    </cfRule>
  </conditionalFormatting>
  <conditionalFormatting sqref="Q87">
    <cfRule type="expression" dxfId="318" priority="366">
      <formula>SEARCH("No Exposure",$K87)</formula>
    </cfRule>
  </conditionalFormatting>
  <conditionalFormatting sqref="Q55">
    <cfRule type="expression" dxfId="317" priority="365">
      <formula>SEARCH("No Exposure",$K55)</formula>
    </cfRule>
  </conditionalFormatting>
  <conditionalFormatting sqref="Q91">
    <cfRule type="expression" dxfId="316" priority="364">
      <formula>SEARCH("No Exposure",$K91)</formula>
    </cfRule>
  </conditionalFormatting>
  <conditionalFormatting sqref="Q69">
    <cfRule type="expression" dxfId="315" priority="363">
      <formula>SEARCH("No Exposure",$K69)</formula>
    </cfRule>
  </conditionalFormatting>
  <conditionalFormatting sqref="M78:N78">
    <cfRule type="expression" dxfId="314" priority="362">
      <formula>SEARCH("No Exposure",$K78)</formula>
    </cfRule>
  </conditionalFormatting>
  <conditionalFormatting sqref="M87:N87">
    <cfRule type="expression" dxfId="313" priority="361">
      <formula>SEARCH("no exposure",$K87)</formula>
    </cfRule>
  </conditionalFormatting>
  <conditionalFormatting sqref="M74:N74">
    <cfRule type="expression" dxfId="312" priority="360">
      <formula>SEARCH("no exposure",$K74)</formula>
    </cfRule>
  </conditionalFormatting>
  <conditionalFormatting sqref="M75:N75">
    <cfRule type="expression" dxfId="311" priority="359">
      <formula>SEARCH("no exposure",$K75)</formula>
    </cfRule>
  </conditionalFormatting>
  <conditionalFormatting sqref="M76:N76">
    <cfRule type="expression" dxfId="310" priority="358">
      <formula>SEARCH("no exposure",$K76)</formula>
    </cfRule>
  </conditionalFormatting>
  <conditionalFormatting sqref="M77:N77">
    <cfRule type="expression" dxfId="309" priority="357">
      <formula>SEARCH("no exposure",$K77)</formula>
    </cfRule>
  </conditionalFormatting>
  <conditionalFormatting sqref="M79:N79">
    <cfRule type="expression" dxfId="308" priority="356">
      <formula>SEARCH("no exposure",$K79)</formula>
    </cfRule>
  </conditionalFormatting>
  <conditionalFormatting sqref="M80:N80">
    <cfRule type="expression" dxfId="307" priority="355">
      <formula>SEARCH("no exposure",$K80)</formula>
    </cfRule>
  </conditionalFormatting>
  <conditionalFormatting sqref="M81:N81">
    <cfRule type="expression" dxfId="306" priority="354">
      <formula>SEARCH("no exposure",$K81)</formula>
    </cfRule>
  </conditionalFormatting>
  <conditionalFormatting sqref="M82:N82">
    <cfRule type="expression" dxfId="305" priority="353">
      <formula>SEARCH("no exposure",$K82)</formula>
    </cfRule>
  </conditionalFormatting>
  <conditionalFormatting sqref="M83:N83">
    <cfRule type="expression" dxfId="304" priority="352">
      <formula>SEARCH("no exposure",$K83)</formula>
    </cfRule>
  </conditionalFormatting>
  <conditionalFormatting sqref="M84:N84">
    <cfRule type="expression" dxfId="303" priority="351">
      <formula>SEARCH("no exposure",$K84)</formula>
    </cfRule>
  </conditionalFormatting>
  <conditionalFormatting sqref="M85:N85">
    <cfRule type="expression" dxfId="302" priority="350">
      <formula>SEARCH("no exposure",$K85)</formula>
    </cfRule>
  </conditionalFormatting>
  <conditionalFormatting sqref="M86">
    <cfRule type="expression" dxfId="301" priority="349">
      <formula>SEARCH("no exposure",$K86)</formula>
    </cfRule>
  </conditionalFormatting>
  <conditionalFormatting sqref="M88:N88">
    <cfRule type="expression" dxfId="300" priority="348">
      <formula>SEARCH("no exposure",$K88)</formula>
    </cfRule>
  </conditionalFormatting>
  <conditionalFormatting sqref="M90:N90">
    <cfRule type="expression" dxfId="299" priority="346">
      <formula>SEARCH("no exposure",$K90)</formula>
    </cfRule>
  </conditionalFormatting>
  <conditionalFormatting sqref="M91:N91">
    <cfRule type="expression" dxfId="298" priority="345">
      <formula>SEARCH("no exposure",$K91)</formula>
    </cfRule>
  </conditionalFormatting>
  <conditionalFormatting sqref="M92:N92">
    <cfRule type="expression" dxfId="297" priority="344">
      <formula>SEARCH("no exposure",$K92)</formula>
    </cfRule>
  </conditionalFormatting>
  <conditionalFormatting sqref="M93:N93">
    <cfRule type="expression" dxfId="296" priority="343">
      <formula>SEARCH("no exposure",$K93)</formula>
    </cfRule>
  </conditionalFormatting>
  <conditionalFormatting sqref="M94">
    <cfRule type="expression" dxfId="295" priority="342">
      <formula>SEARCH("no exposure",$K94)</formula>
    </cfRule>
  </conditionalFormatting>
  <conditionalFormatting sqref="L3:L67 L69:L94">
    <cfRule type="cellIs" dxfId="294" priority="340" operator="equal">
      <formula>"Y"</formula>
    </cfRule>
    <cfRule type="cellIs" dxfId="293" priority="341" operator="equal">
      <formula>"N"</formula>
    </cfRule>
  </conditionalFormatting>
  <conditionalFormatting sqref="C95">
    <cfRule type="expression" dxfId="292" priority="339">
      <formula>SEARCH("no exposure",$K95)</formula>
    </cfRule>
  </conditionalFormatting>
  <conditionalFormatting sqref="E95">
    <cfRule type="expression" dxfId="291" priority="338">
      <formula>SEARCH("no exposure",$K95)</formula>
    </cfRule>
  </conditionalFormatting>
  <conditionalFormatting sqref="F95">
    <cfRule type="expression" dxfId="290" priority="337">
      <formula>SEARCH("no exposure",$K95)</formula>
    </cfRule>
  </conditionalFormatting>
  <conditionalFormatting sqref="J95">
    <cfRule type="expression" dxfId="289" priority="336">
      <formula>SEARCH("no exposure",$K95)</formula>
    </cfRule>
  </conditionalFormatting>
  <conditionalFormatting sqref="K95">
    <cfRule type="expression" dxfId="288" priority="335">
      <formula>SEARCH("No Exposure",$K95)</formula>
    </cfRule>
  </conditionalFormatting>
  <conditionalFormatting sqref="L95">
    <cfRule type="cellIs" dxfId="287" priority="333" operator="equal">
      <formula>"Y"</formula>
    </cfRule>
    <cfRule type="cellIs" dxfId="286" priority="334" operator="equal">
      <formula>"N"</formula>
    </cfRule>
  </conditionalFormatting>
  <conditionalFormatting sqref="O95">
    <cfRule type="expression" dxfId="285" priority="332">
      <formula>SEARCH("no exposure",$K95)</formula>
    </cfRule>
  </conditionalFormatting>
  <conditionalFormatting sqref="P64">
    <cfRule type="expression" dxfId="284" priority="326">
      <formula>SEARCH("No Exposure",$K64)</formula>
    </cfRule>
  </conditionalFormatting>
  <conditionalFormatting sqref="N86">
    <cfRule type="expression" dxfId="283" priority="324">
      <formula>SEARCH("No Exposure",$K86)</formula>
    </cfRule>
  </conditionalFormatting>
  <conditionalFormatting sqref="N94">
    <cfRule type="expression" dxfId="282" priority="323">
      <formula>SEARCH("No Exposure",$K94)</formula>
    </cfRule>
  </conditionalFormatting>
  <conditionalFormatting sqref="P44">
    <cfRule type="expression" dxfId="281" priority="320">
      <formula>SEARCH("No Exposure",$K44)</formula>
    </cfRule>
  </conditionalFormatting>
  <conditionalFormatting sqref="P48">
    <cfRule type="expression" dxfId="280" priority="319">
      <formula>SEARCH("No Exposure",$K48)</formula>
    </cfRule>
  </conditionalFormatting>
  <conditionalFormatting sqref="P52">
    <cfRule type="expression" dxfId="279" priority="318">
      <formula>SEARCH("No Exposure",$K52)</formula>
    </cfRule>
  </conditionalFormatting>
  <conditionalFormatting sqref="P26">
    <cfRule type="expression" dxfId="278" priority="317">
      <formula>SEARCH("No Exposure",$K26)</formula>
    </cfRule>
  </conditionalFormatting>
  <conditionalFormatting sqref="P9:P10">
    <cfRule type="expression" dxfId="277" priority="316">
      <formula>SEARCH("No Exposure",$K9)</formula>
    </cfRule>
  </conditionalFormatting>
  <conditionalFormatting sqref="P36">
    <cfRule type="expression" dxfId="276" priority="315">
      <formula>SEARCH("No Exposure",$K36)</formula>
    </cfRule>
  </conditionalFormatting>
  <conditionalFormatting sqref="P46">
    <cfRule type="expression" dxfId="275" priority="314">
      <formula>SEARCH("No Exposure",$K46)</formula>
    </cfRule>
  </conditionalFormatting>
  <conditionalFormatting sqref="C84">
    <cfRule type="expression" dxfId="274" priority="313">
      <formula>SEARCH("No Exposure",$K84)</formula>
    </cfRule>
  </conditionalFormatting>
  <conditionalFormatting sqref="P62">
    <cfRule type="expression" dxfId="273" priority="312">
      <formula>SEARCH("No Exposure",$K62)</formula>
    </cfRule>
  </conditionalFormatting>
  <conditionalFormatting sqref="P33">
    <cfRule type="expression" dxfId="272" priority="311">
      <formula>SEARCH("No Exposure",$K33)</formula>
    </cfRule>
  </conditionalFormatting>
  <conditionalFormatting sqref="P7">
    <cfRule type="expression" dxfId="271" priority="310">
      <formula>SEARCH("No Exposure",$K7)</formula>
    </cfRule>
  </conditionalFormatting>
  <conditionalFormatting sqref="P53">
    <cfRule type="expression" dxfId="270" priority="309">
      <formula>SEARCH("No Exposure",$K53)</formula>
    </cfRule>
  </conditionalFormatting>
  <conditionalFormatting sqref="P34">
    <cfRule type="expression" dxfId="269" priority="308">
      <formula>SEARCH("No Exposure",$K34)</formula>
    </cfRule>
  </conditionalFormatting>
  <conditionalFormatting sqref="P14">
    <cfRule type="expression" dxfId="268" priority="307">
      <formula>SEARCH("No Exposure",$K14)</formula>
    </cfRule>
  </conditionalFormatting>
  <conditionalFormatting sqref="E96">
    <cfRule type="expression" dxfId="267" priority="304">
      <formula>SEARCH("no exposure",$K96)</formula>
    </cfRule>
  </conditionalFormatting>
  <conditionalFormatting sqref="F96">
    <cfRule type="expression" dxfId="266" priority="303">
      <formula>SEARCH("no exposure",$K96)</formula>
    </cfRule>
  </conditionalFormatting>
  <conditionalFormatting sqref="J96">
    <cfRule type="expression" dxfId="265" priority="302">
      <formula>SEARCH("no exposure",$K96)</formula>
    </cfRule>
  </conditionalFormatting>
  <conditionalFormatting sqref="K96">
    <cfRule type="expression" dxfId="264" priority="301">
      <formula>SEARCH("No Exposure",$K96)</formula>
    </cfRule>
  </conditionalFormatting>
  <conditionalFormatting sqref="L96">
    <cfRule type="cellIs" dxfId="263" priority="299" operator="equal">
      <formula>"Y"</formula>
    </cfRule>
    <cfRule type="cellIs" dxfId="262" priority="300" operator="equal">
      <formula>"N"</formula>
    </cfRule>
  </conditionalFormatting>
  <conditionalFormatting sqref="O96">
    <cfRule type="expression" dxfId="261" priority="298">
      <formula>SEARCH("no exposure",$K96)</formula>
    </cfRule>
  </conditionalFormatting>
  <conditionalFormatting sqref="N69">
    <cfRule type="expression" dxfId="260" priority="296">
      <formula>SEARCH("No Exposure",$K69)</formula>
    </cfRule>
  </conditionalFormatting>
  <conditionalFormatting sqref="M69">
    <cfRule type="expression" dxfId="259" priority="295">
      <formula>SEARCH("No Exposure",$K69)</formula>
    </cfRule>
  </conditionalFormatting>
  <conditionalFormatting sqref="P54">
    <cfRule type="expression" dxfId="258" priority="289">
      <formula>SEARCH("No Exposure",$K54)</formula>
    </cfRule>
  </conditionalFormatting>
  <conditionalFormatting sqref="P79">
    <cfRule type="expression" dxfId="257" priority="286">
      <formula>SEARCH("No Exposure",$K79)</formula>
    </cfRule>
  </conditionalFormatting>
  <conditionalFormatting sqref="P32">
    <cfRule type="expression" dxfId="256" priority="281">
      <formula>SEARCH("No Exposure",$K32)</formula>
    </cfRule>
  </conditionalFormatting>
  <conditionalFormatting sqref="P24">
    <cfRule type="expression" dxfId="255" priority="280">
      <formula>SEARCH("No Exposure",$K24)</formula>
    </cfRule>
  </conditionalFormatting>
  <conditionalFormatting sqref="D94">
    <cfRule type="expression" dxfId="254" priority="274">
      <formula>SEARCH("No Exposure",$K94)</formula>
    </cfRule>
  </conditionalFormatting>
  <conditionalFormatting sqref="P25">
    <cfRule type="expression" dxfId="253" priority="272">
      <formula>SEARCH("No Exposure",$K25)</formula>
    </cfRule>
  </conditionalFormatting>
  <conditionalFormatting sqref="P71">
    <cfRule type="expression" dxfId="252" priority="271">
      <formula>SEARCH("No Exposure",$K71)</formula>
    </cfRule>
  </conditionalFormatting>
  <conditionalFormatting sqref="P60">
    <cfRule type="expression" dxfId="251" priority="270">
      <formula>SEARCH("No Exposure",$K60)</formula>
    </cfRule>
  </conditionalFormatting>
  <conditionalFormatting sqref="P80">
    <cfRule type="expression" dxfId="250" priority="269">
      <formula>SEARCH("No Exposure",$K80)</formula>
    </cfRule>
  </conditionalFormatting>
  <conditionalFormatting sqref="P18">
    <cfRule type="expression" dxfId="249" priority="268">
      <formula>SEARCH("No Exposure",$K18)</formula>
    </cfRule>
  </conditionalFormatting>
  <conditionalFormatting sqref="E97">
    <cfRule type="expression" dxfId="248" priority="263">
      <formula>SEARCH("no exposure",$K97)</formula>
    </cfRule>
  </conditionalFormatting>
  <conditionalFormatting sqref="F97">
    <cfRule type="expression" dxfId="247" priority="262">
      <formula>SEARCH("no exposure",$K97)</formula>
    </cfRule>
  </conditionalFormatting>
  <conditionalFormatting sqref="G97">
    <cfRule type="expression" dxfId="246" priority="261">
      <formula>SEARCH("No Exposure",$K97)</formula>
    </cfRule>
  </conditionalFormatting>
  <conditionalFormatting sqref="J97">
    <cfRule type="expression" dxfId="245" priority="260">
      <formula>SEARCH("no exposure",$K97)</formula>
    </cfRule>
  </conditionalFormatting>
  <conditionalFormatting sqref="L97">
    <cfRule type="cellIs" dxfId="244" priority="257" operator="equal">
      <formula>"Y"</formula>
    </cfRule>
    <cfRule type="cellIs" dxfId="243" priority="258" operator="equal">
      <formula>"N"</formula>
    </cfRule>
  </conditionalFormatting>
  <conditionalFormatting sqref="O97">
    <cfRule type="expression" dxfId="242" priority="254">
      <formula>SEARCH("no exposure",$K97)</formula>
    </cfRule>
  </conditionalFormatting>
  <conditionalFormatting sqref="C94">
    <cfRule type="expression" dxfId="241" priority="252">
      <formula>SEARCH("no exposure",$K94)</formula>
    </cfRule>
  </conditionalFormatting>
  <conditionalFormatting sqref="O94">
    <cfRule type="expression" dxfId="240" priority="251">
      <formula>SEARCH("no exposure",$K94)</formula>
    </cfRule>
  </conditionalFormatting>
  <conditionalFormatting sqref="M97:N97">
    <cfRule type="expression" dxfId="239" priority="250">
      <formula>SEARCH("no exposure",$K97)</formula>
    </cfRule>
  </conditionalFormatting>
  <conditionalFormatting sqref="C97">
    <cfRule type="expression" dxfId="238" priority="249">
      <formula>SEARCH("no exposure",$K97)</formula>
    </cfRule>
  </conditionalFormatting>
  <conditionalFormatting sqref="N89">
    <cfRule type="expression" dxfId="237" priority="248">
      <formula>SEARCH("no exposure",$K89)</formula>
    </cfRule>
  </conditionalFormatting>
  <conditionalFormatting sqref="M89">
    <cfRule type="expression" dxfId="236" priority="247">
      <formula>SEARCH("no exposure",$K89)</formula>
    </cfRule>
  </conditionalFormatting>
  <conditionalFormatting sqref="P63">
    <cfRule type="expression" dxfId="235" priority="245">
      <formula>SEARCH("No Exposure",$K63)</formula>
    </cfRule>
  </conditionalFormatting>
  <conditionalFormatting sqref="P40">
    <cfRule type="expression" dxfId="234" priority="244">
      <formula>SEARCH("No Exposure",$K40)</formula>
    </cfRule>
  </conditionalFormatting>
  <conditionalFormatting sqref="C98">
    <cfRule type="expression" dxfId="233" priority="243">
      <formula>SEARCH("no exposure",$K98)</formula>
    </cfRule>
  </conditionalFormatting>
  <conditionalFormatting sqref="E98">
    <cfRule type="expression" dxfId="232" priority="242">
      <formula>SEARCH("no exposure",$K98)</formula>
    </cfRule>
  </conditionalFormatting>
  <conditionalFormatting sqref="F98">
    <cfRule type="expression" dxfId="231" priority="241">
      <formula>SEARCH("no exposure",$K98)</formula>
    </cfRule>
  </conditionalFormatting>
  <conditionalFormatting sqref="J98">
    <cfRule type="expression" dxfId="230" priority="240">
      <formula>SEARCH("no exposure",$K98)</formula>
    </cfRule>
  </conditionalFormatting>
  <conditionalFormatting sqref="K98">
    <cfRule type="expression" dxfId="229" priority="239">
      <formula>SEARCH("No Exposure",$K98)</formula>
    </cfRule>
  </conditionalFormatting>
  <conditionalFormatting sqref="L98">
    <cfRule type="cellIs" dxfId="228" priority="237" operator="equal">
      <formula>"Y"</formula>
    </cfRule>
    <cfRule type="cellIs" dxfId="227" priority="238" operator="equal">
      <formula>"N"</formula>
    </cfRule>
  </conditionalFormatting>
  <conditionalFormatting sqref="M98:N98">
    <cfRule type="expression" dxfId="226" priority="236">
      <formula>SEARCH("no exposure",$K98)</formula>
    </cfRule>
  </conditionalFormatting>
  <conditionalFormatting sqref="O98">
    <cfRule type="expression" dxfId="225" priority="235">
      <formula>SEARCH("no exposure",$K98)</formula>
    </cfRule>
  </conditionalFormatting>
  <conditionalFormatting sqref="D84">
    <cfRule type="expression" dxfId="224" priority="233">
      <formula>SEARCH("No Exposure",$K84)</formula>
    </cfRule>
  </conditionalFormatting>
  <conditionalFormatting sqref="P42">
    <cfRule type="expression" dxfId="223" priority="232">
      <formula>SEARCH("No Exposure",$K42)</formula>
    </cfRule>
  </conditionalFormatting>
  <conditionalFormatting sqref="C99">
    <cfRule type="expression" dxfId="222" priority="231">
      <formula>SEARCH("no exposure",$K99)</formula>
    </cfRule>
  </conditionalFormatting>
  <conditionalFormatting sqref="E99">
    <cfRule type="expression" dxfId="221" priority="230">
      <formula>SEARCH("no exposure",$K99)</formula>
    </cfRule>
  </conditionalFormatting>
  <conditionalFormatting sqref="F99">
    <cfRule type="expression" dxfId="220" priority="229">
      <formula>SEARCH("no exposure",$K99)</formula>
    </cfRule>
  </conditionalFormatting>
  <conditionalFormatting sqref="J99">
    <cfRule type="expression" dxfId="219" priority="228">
      <formula>SEARCH("no exposure",$K99)</formula>
    </cfRule>
  </conditionalFormatting>
  <conditionalFormatting sqref="K99">
    <cfRule type="expression" dxfId="218" priority="227">
      <formula>SEARCH("No Exposure",$K99)</formula>
    </cfRule>
  </conditionalFormatting>
  <conditionalFormatting sqref="L99">
    <cfRule type="cellIs" dxfId="217" priority="225" operator="equal">
      <formula>"Y"</formula>
    </cfRule>
    <cfRule type="cellIs" dxfId="216" priority="226" operator="equal">
      <formula>"N"</formula>
    </cfRule>
  </conditionalFormatting>
  <conditionalFormatting sqref="M99:N99">
    <cfRule type="expression" dxfId="215" priority="224">
      <formula>SEARCH("no exposure",$K99)</formula>
    </cfRule>
  </conditionalFormatting>
  <conditionalFormatting sqref="O99">
    <cfRule type="expression" dxfId="214" priority="223">
      <formula>SEARCH("no exposure",$K99)</formula>
    </cfRule>
  </conditionalFormatting>
  <conditionalFormatting sqref="C96">
    <cfRule type="expression" dxfId="213" priority="222">
      <formula>SEARCH("no exposure",$K96)</formula>
    </cfRule>
  </conditionalFormatting>
  <conditionalFormatting sqref="C100">
    <cfRule type="expression" dxfId="212" priority="221">
      <formula>SEARCH("no exposure",$K100)</formula>
    </cfRule>
  </conditionalFormatting>
  <conditionalFormatting sqref="E100">
    <cfRule type="expression" dxfId="211" priority="220">
      <formula>SEARCH("no exposure",$K100)</formula>
    </cfRule>
  </conditionalFormatting>
  <conditionalFormatting sqref="F100">
    <cfRule type="expression" dxfId="210" priority="219">
      <formula>SEARCH("no exposure",$K100)</formula>
    </cfRule>
  </conditionalFormatting>
  <conditionalFormatting sqref="J100">
    <cfRule type="expression" dxfId="209" priority="218">
      <formula>SEARCH("no exposure",$K100)</formula>
    </cfRule>
  </conditionalFormatting>
  <conditionalFormatting sqref="K100">
    <cfRule type="expression" dxfId="208" priority="217">
      <formula>SEARCH("No Exposure",$K100)</formula>
    </cfRule>
  </conditionalFormatting>
  <conditionalFormatting sqref="L100">
    <cfRule type="cellIs" dxfId="207" priority="215" operator="equal">
      <formula>"Y"</formula>
    </cfRule>
    <cfRule type="cellIs" dxfId="206" priority="216" operator="equal">
      <formula>"N"</formula>
    </cfRule>
  </conditionalFormatting>
  <conditionalFormatting sqref="M100">
    <cfRule type="expression" dxfId="205" priority="214">
      <formula>SEARCH("no exposure",$K100)</formula>
    </cfRule>
  </conditionalFormatting>
  <conditionalFormatting sqref="N100">
    <cfRule type="expression" dxfId="204" priority="212">
      <formula>SEARCH("no exposure",$K100)</formula>
    </cfRule>
  </conditionalFormatting>
  <conditionalFormatting sqref="O100">
    <cfRule type="expression" dxfId="203" priority="211">
      <formula>SEARCH("no exposure",$K100)</formula>
    </cfRule>
  </conditionalFormatting>
  <conditionalFormatting sqref="C101">
    <cfRule type="expression" dxfId="202" priority="210">
      <formula>SEARCH("no exposure",$K101)</formula>
    </cfRule>
  </conditionalFormatting>
  <conditionalFormatting sqref="E101">
    <cfRule type="expression" dxfId="201" priority="209">
      <formula>SEARCH("no exposure",$K101)</formula>
    </cfRule>
  </conditionalFormatting>
  <conditionalFormatting sqref="F101">
    <cfRule type="expression" dxfId="200" priority="208">
      <formula>SEARCH("no exposure",$K101)</formula>
    </cfRule>
  </conditionalFormatting>
  <conditionalFormatting sqref="J101">
    <cfRule type="expression" dxfId="199" priority="207">
      <formula>SEARCH("no exposure",$K101)</formula>
    </cfRule>
  </conditionalFormatting>
  <conditionalFormatting sqref="K97">
    <cfRule type="expression" dxfId="198" priority="206">
      <formula>SEARCH("No Exposure",$K97)</formula>
    </cfRule>
  </conditionalFormatting>
  <conditionalFormatting sqref="K101">
    <cfRule type="expression" dxfId="197" priority="205">
      <formula>SEARCH("No Exposure",$K101)</formula>
    </cfRule>
  </conditionalFormatting>
  <conditionalFormatting sqref="L101">
    <cfRule type="cellIs" dxfId="196" priority="203" operator="equal">
      <formula>"Y"</formula>
    </cfRule>
    <cfRule type="cellIs" dxfId="195" priority="204" operator="equal">
      <formula>"N"</formula>
    </cfRule>
  </conditionalFormatting>
  <conditionalFormatting sqref="M101">
    <cfRule type="expression" dxfId="194" priority="202">
      <formula>SEARCH("no exposure",$K101)</formula>
    </cfRule>
  </conditionalFormatting>
  <conditionalFormatting sqref="O101">
    <cfRule type="expression" dxfId="193" priority="200">
      <formula>SEARCH("no exposure",$K101)</formula>
    </cfRule>
  </conditionalFormatting>
  <conditionalFormatting sqref="N101">
    <cfRule type="expression" dxfId="192" priority="199">
      <formula>SEARCH("no exposure",$K101)</formula>
    </cfRule>
  </conditionalFormatting>
  <conditionalFormatting sqref="C102">
    <cfRule type="expression" dxfId="191" priority="198">
      <formula>SEARCH("no exposure",$K102)</formula>
    </cfRule>
  </conditionalFormatting>
  <conditionalFormatting sqref="E102">
    <cfRule type="expression" dxfId="190" priority="197">
      <formula>SEARCH("no exposure",$K102)</formula>
    </cfRule>
  </conditionalFormatting>
  <conditionalFormatting sqref="F102">
    <cfRule type="expression" dxfId="189" priority="196">
      <formula>SEARCH("no exposure",$K102)</formula>
    </cfRule>
  </conditionalFormatting>
  <conditionalFormatting sqref="J102">
    <cfRule type="expression" dxfId="188" priority="195">
      <formula>SEARCH("no exposure",$K102)</formula>
    </cfRule>
  </conditionalFormatting>
  <conditionalFormatting sqref="K102">
    <cfRule type="expression" dxfId="187" priority="194">
      <formula>SEARCH("No Exposure",$K102)</formula>
    </cfRule>
  </conditionalFormatting>
  <conditionalFormatting sqref="L102">
    <cfRule type="cellIs" dxfId="186" priority="192" operator="equal">
      <formula>"Y"</formula>
    </cfRule>
    <cfRule type="cellIs" dxfId="185" priority="193" operator="equal">
      <formula>"N"</formula>
    </cfRule>
  </conditionalFormatting>
  <conditionalFormatting sqref="M102">
    <cfRule type="expression" dxfId="184" priority="191">
      <formula>SEARCH("no exposure",$K102)</formula>
    </cfRule>
  </conditionalFormatting>
  <conditionalFormatting sqref="N102">
    <cfRule type="expression" dxfId="183" priority="190">
      <formula>SEARCH("no exposure",$K102)</formula>
    </cfRule>
  </conditionalFormatting>
  <conditionalFormatting sqref="O102">
    <cfRule type="expression" dxfId="182" priority="189">
      <formula>SEARCH("no exposure",$K102)</formula>
    </cfRule>
  </conditionalFormatting>
  <conditionalFormatting sqref="P39">
    <cfRule type="expression" dxfId="181" priority="188">
      <formula>SEARCH("No Exposure",$K39)</formula>
    </cfRule>
  </conditionalFormatting>
  <conditionalFormatting sqref="P28">
    <cfRule type="expression" dxfId="180" priority="187">
      <formula>SEARCH("No Exposure",$K28)</formula>
    </cfRule>
  </conditionalFormatting>
  <conditionalFormatting sqref="C103">
    <cfRule type="expression" dxfId="179" priority="186">
      <formula>SEARCH("no exposure",$K103)</formula>
    </cfRule>
  </conditionalFormatting>
  <conditionalFormatting sqref="E103">
    <cfRule type="expression" dxfId="178" priority="185">
      <formula>SEARCH("no exposure",$K103)</formula>
    </cfRule>
  </conditionalFormatting>
  <conditionalFormatting sqref="F103">
    <cfRule type="expression" dxfId="177" priority="184">
      <formula>SEARCH("no exposure",$K103)</formula>
    </cfRule>
  </conditionalFormatting>
  <conditionalFormatting sqref="J103">
    <cfRule type="expression" dxfId="176" priority="183">
      <formula>SEARCH("no exposure",$K103)</formula>
    </cfRule>
  </conditionalFormatting>
  <conditionalFormatting sqref="K103">
    <cfRule type="expression" dxfId="175" priority="182">
      <formula>SEARCH("No Exposure",$K103)</formula>
    </cfRule>
  </conditionalFormatting>
  <conditionalFormatting sqref="L103">
    <cfRule type="cellIs" dxfId="174" priority="180" operator="equal">
      <formula>"Y"</formula>
    </cfRule>
    <cfRule type="cellIs" dxfId="173" priority="181" operator="equal">
      <formula>"N"</formula>
    </cfRule>
  </conditionalFormatting>
  <conditionalFormatting sqref="M103">
    <cfRule type="expression" dxfId="172" priority="179">
      <formula>SEARCH("no exposure",$K103)</formula>
    </cfRule>
  </conditionalFormatting>
  <conditionalFormatting sqref="N103">
    <cfRule type="expression" dxfId="171" priority="178">
      <formula>SEARCH("no exposure",$K103)</formula>
    </cfRule>
  </conditionalFormatting>
  <conditionalFormatting sqref="O103">
    <cfRule type="expression" dxfId="170" priority="177">
      <formula>SEARCH("no exposure",$K103)</formula>
    </cfRule>
  </conditionalFormatting>
  <conditionalFormatting sqref="D100">
    <cfRule type="expression" dxfId="169" priority="176">
      <formula>SEARCH("No Exposure",$K100)</formula>
    </cfRule>
  </conditionalFormatting>
  <conditionalFormatting sqref="D70">
    <cfRule type="expression" dxfId="168" priority="175">
      <formula>SEARCH("No Exposure",$K70)</formula>
    </cfRule>
  </conditionalFormatting>
  <conditionalFormatting sqref="P61">
    <cfRule type="expression" dxfId="167" priority="174">
      <formula>SEARCH("No Exposure",$K61)</formula>
    </cfRule>
  </conditionalFormatting>
  <conditionalFormatting sqref="A68:J68 O68">
    <cfRule type="expression" dxfId="166" priority="172">
      <formula>SEARCH("no exposure",$K68)</formula>
    </cfRule>
  </conditionalFormatting>
  <conditionalFormatting sqref="K68">
    <cfRule type="expression" dxfId="165" priority="171">
      <formula>SEARCH("No Exposure",$K68)</formula>
    </cfRule>
  </conditionalFormatting>
  <conditionalFormatting sqref="L68">
    <cfRule type="expression" dxfId="164" priority="168">
      <formula>SEARCH("no exposure",$K68)</formula>
    </cfRule>
  </conditionalFormatting>
  <conditionalFormatting sqref="L68">
    <cfRule type="cellIs" dxfId="163" priority="166" operator="equal">
      <formula>"Y"</formula>
    </cfRule>
    <cfRule type="cellIs" dxfId="162" priority="167" operator="equal">
      <formula>"N"</formula>
    </cfRule>
  </conditionalFormatting>
  <conditionalFormatting sqref="M68">
    <cfRule type="expression" dxfId="161" priority="165">
      <formula>SEARCH("No Exposure",$K68)</formula>
    </cfRule>
  </conditionalFormatting>
  <conditionalFormatting sqref="N68">
    <cfRule type="expression" dxfId="160" priority="164">
      <formula>SEARCH("No Exposure",$K68)</formula>
    </cfRule>
  </conditionalFormatting>
  <conditionalFormatting sqref="C104">
    <cfRule type="expression" dxfId="159" priority="163">
      <formula>SEARCH("no exposure",$K104)</formula>
    </cfRule>
  </conditionalFormatting>
  <conditionalFormatting sqref="E104">
    <cfRule type="expression" dxfId="158" priority="162">
      <formula>SEARCH("no exposure",$K104)</formula>
    </cfRule>
  </conditionalFormatting>
  <conditionalFormatting sqref="F104">
    <cfRule type="expression" dxfId="157" priority="161">
      <formula>SEARCH("no exposure",$K104)</formula>
    </cfRule>
  </conditionalFormatting>
  <conditionalFormatting sqref="J104">
    <cfRule type="expression" dxfId="156" priority="160">
      <formula>SEARCH("no exposure",$K104)</formula>
    </cfRule>
  </conditionalFormatting>
  <conditionalFormatting sqref="K104">
    <cfRule type="expression" dxfId="155" priority="159">
      <formula>SEARCH("No Exposure",$K104)</formula>
    </cfRule>
  </conditionalFormatting>
  <conditionalFormatting sqref="L104">
    <cfRule type="cellIs" dxfId="154" priority="157" operator="equal">
      <formula>"Y"</formula>
    </cfRule>
    <cfRule type="cellIs" dxfId="153" priority="158" operator="equal">
      <formula>"N"</formula>
    </cfRule>
  </conditionalFormatting>
  <conditionalFormatting sqref="M104">
    <cfRule type="expression" dxfId="152" priority="156">
      <formula>SEARCH("no exposure",$K104)</formula>
    </cfRule>
  </conditionalFormatting>
  <conditionalFormatting sqref="N104">
    <cfRule type="expression" dxfId="151" priority="155">
      <formula>SEARCH("no exposure",$K104)</formula>
    </cfRule>
  </conditionalFormatting>
  <conditionalFormatting sqref="O104">
    <cfRule type="expression" dxfId="150" priority="154">
      <formula>SEARCH("no exposure",$K104)</formula>
    </cfRule>
  </conditionalFormatting>
  <conditionalFormatting sqref="C105">
    <cfRule type="expression" dxfId="149" priority="153">
      <formula>SEARCH("no exposure",$K105)</formula>
    </cfRule>
  </conditionalFormatting>
  <conditionalFormatting sqref="E105">
    <cfRule type="expression" dxfId="148" priority="152">
      <formula>SEARCH("no exposure",$K105)</formula>
    </cfRule>
  </conditionalFormatting>
  <conditionalFormatting sqref="F105">
    <cfRule type="expression" dxfId="147" priority="151">
      <formula>SEARCH("no exposure",$K105)</formula>
    </cfRule>
  </conditionalFormatting>
  <conditionalFormatting sqref="J105">
    <cfRule type="expression" dxfId="146" priority="150">
      <formula>SEARCH("no exposure",$K105)</formula>
    </cfRule>
  </conditionalFormatting>
  <conditionalFormatting sqref="K105">
    <cfRule type="expression" dxfId="145" priority="149">
      <formula>SEARCH("No Exposure",$K105)</formula>
    </cfRule>
  </conditionalFormatting>
  <conditionalFormatting sqref="L105">
    <cfRule type="cellIs" dxfId="144" priority="147" operator="equal">
      <formula>"Y"</formula>
    </cfRule>
    <cfRule type="cellIs" dxfId="143" priority="148" operator="equal">
      <formula>"N"</formula>
    </cfRule>
  </conditionalFormatting>
  <conditionalFormatting sqref="M105">
    <cfRule type="expression" dxfId="142" priority="146">
      <formula>SEARCH("no exposure",$K105)</formula>
    </cfRule>
  </conditionalFormatting>
  <conditionalFormatting sqref="N105">
    <cfRule type="expression" dxfId="141" priority="145">
      <formula>SEARCH("no exposure",$K105)</formula>
    </cfRule>
  </conditionalFormatting>
  <conditionalFormatting sqref="O105">
    <cfRule type="expression" dxfId="140" priority="144">
      <formula>SEARCH("no exposure",$K105)</formula>
    </cfRule>
  </conditionalFormatting>
  <conditionalFormatting sqref="C106">
    <cfRule type="expression" dxfId="139" priority="143">
      <formula>SEARCH("no exposure",$K106)</formula>
    </cfRule>
  </conditionalFormatting>
  <conditionalFormatting sqref="E106">
    <cfRule type="expression" dxfId="138" priority="142">
      <formula>SEARCH("no exposure",$K106)</formula>
    </cfRule>
  </conditionalFormatting>
  <conditionalFormatting sqref="F106">
    <cfRule type="expression" dxfId="137" priority="141">
      <formula>SEARCH("no exposure",$K106)</formula>
    </cfRule>
  </conditionalFormatting>
  <conditionalFormatting sqref="J106">
    <cfRule type="expression" dxfId="136" priority="140">
      <formula>SEARCH("no exposure",$K106)</formula>
    </cfRule>
  </conditionalFormatting>
  <conditionalFormatting sqref="K106">
    <cfRule type="expression" dxfId="135" priority="139">
      <formula>SEARCH("No Exposure",$K106)</formula>
    </cfRule>
  </conditionalFormatting>
  <conditionalFormatting sqref="L106">
    <cfRule type="cellIs" dxfId="134" priority="137" operator="equal">
      <formula>"Y"</formula>
    </cfRule>
    <cfRule type="cellIs" dxfId="133" priority="138" operator="equal">
      <formula>"N"</formula>
    </cfRule>
  </conditionalFormatting>
  <conditionalFormatting sqref="M106">
    <cfRule type="expression" dxfId="132" priority="136">
      <formula>SEARCH("no exposure",$K106)</formula>
    </cfRule>
  </conditionalFormatting>
  <conditionalFormatting sqref="N106">
    <cfRule type="expression" dxfId="131" priority="135">
      <formula>SEARCH("no exposure",$K106)</formula>
    </cfRule>
  </conditionalFormatting>
  <conditionalFormatting sqref="O106">
    <cfRule type="expression" dxfId="130" priority="134">
      <formula>SEARCH("no exposure",$K106)</formula>
    </cfRule>
  </conditionalFormatting>
  <conditionalFormatting sqref="C107">
    <cfRule type="expression" dxfId="129" priority="133">
      <formula>SEARCH("no exposure",$K107)</formula>
    </cfRule>
  </conditionalFormatting>
  <conditionalFormatting sqref="E107">
    <cfRule type="expression" dxfId="128" priority="132">
      <formula>SEARCH("no exposure",$K107)</formula>
    </cfRule>
  </conditionalFormatting>
  <conditionalFormatting sqref="F107">
    <cfRule type="expression" dxfId="127" priority="131">
      <formula>SEARCH("no exposure",$K107)</formula>
    </cfRule>
  </conditionalFormatting>
  <conditionalFormatting sqref="J107">
    <cfRule type="expression" dxfId="126" priority="130">
      <formula>SEARCH("no exposure",$K107)</formula>
    </cfRule>
  </conditionalFormatting>
  <conditionalFormatting sqref="K107">
    <cfRule type="expression" dxfId="125" priority="129">
      <formula>SEARCH("No Exposure",$K107)</formula>
    </cfRule>
  </conditionalFormatting>
  <conditionalFormatting sqref="L107">
    <cfRule type="cellIs" dxfId="124" priority="127" operator="equal">
      <formula>"Y"</formula>
    </cfRule>
    <cfRule type="cellIs" dxfId="123" priority="128" operator="equal">
      <formula>"N"</formula>
    </cfRule>
  </conditionalFormatting>
  <conditionalFormatting sqref="M107">
    <cfRule type="expression" dxfId="122" priority="126">
      <formula>SEARCH("no exposure",$K107)</formula>
    </cfRule>
  </conditionalFormatting>
  <conditionalFormatting sqref="O107">
    <cfRule type="expression" dxfId="121" priority="124">
      <formula>SEARCH("no exposure",$K107)</formula>
    </cfRule>
  </conditionalFormatting>
  <conditionalFormatting sqref="N107">
    <cfRule type="expression" dxfId="120" priority="123">
      <formula>SEARCH("no exposure",$K107)</formula>
    </cfRule>
  </conditionalFormatting>
  <conditionalFormatting sqref="C108">
    <cfRule type="expression" dxfId="119" priority="122">
      <formula>SEARCH("no exposure",$K108)</formula>
    </cfRule>
  </conditionalFormatting>
  <conditionalFormatting sqref="E108">
    <cfRule type="expression" dxfId="118" priority="121">
      <formula>SEARCH("no exposure",$K108)</formula>
    </cfRule>
  </conditionalFormatting>
  <conditionalFormatting sqref="F108">
    <cfRule type="expression" dxfId="117" priority="120">
      <formula>SEARCH("no exposure",$K108)</formula>
    </cfRule>
  </conditionalFormatting>
  <conditionalFormatting sqref="J108">
    <cfRule type="expression" dxfId="116" priority="119">
      <formula>SEARCH("no exposure",$K108)</formula>
    </cfRule>
  </conditionalFormatting>
  <conditionalFormatting sqref="K108">
    <cfRule type="expression" dxfId="115" priority="118">
      <formula>SEARCH("No Exposure",$K108)</formula>
    </cfRule>
  </conditionalFormatting>
  <conditionalFormatting sqref="L108">
    <cfRule type="cellIs" dxfId="114" priority="116" operator="equal">
      <formula>"Y"</formula>
    </cfRule>
    <cfRule type="cellIs" dxfId="113" priority="117" operator="equal">
      <formula>"N"</formula>
    </cfRule>
  </conditionalFormatting>
  <conditionalFormatting sqref="M108">
    <cfRule type="expression" dxfId="112" priority="115">
      <formula>SEARCH("no exposure",$K108)</formula>
    </cfRule>
  </conditionalFormatting>
  <conditionalFormatting sqref="N108">
    <cfRule type="expression" dxfId="111" priority="114">
      <formula>SEARCH("no exposure",$K108)</formula>
    </cfRule>
  </conditionalFormatting>
  <conditionalFormatting sqref="O108">
    <cfRule type="expression" dxfId="110" priority="113">
      <formula>SEARCH("no exposure",$K108)</formula>
    </cfRule>
  </conditionalFormatting>
  <conditionalFormatting sqref="C109">
    <cfRule type="expression" dxfId="109" priority="112">
      <formula>SEARCH("no exposure",$K109)</formula>
    </cfRule>
  </conditionalFormatting>
  <conditionalFormatting sqref="E109">
    <cfRule type="expression" dxfId="108" priority="111">
      <formula>SEARCH("no exposure",$K109)</formula>
    </cfRule>
  </conditionalFormatting>
  <conditionalFormatting sqref="F109">
    <cfRule type="expression" dxfId="107" priority="110">
      <formula>SEARCH("no exposure",$K109)</formula>
    </cfRule>
  </conditionalFormatting>
  <conditionalFormatting sqref="J109">
    <cfRule type="expression" dxfId="106" priority="109">
      <formula>SEARCH("no exposure",$K109)</formula>
    </cfRule>
  </conditionalFormatting>
  <conditionalFormatting sqref="K109">
    <cfRule type="expression" dxfId="105" priority="108">
      <formula>SEARCH("No Exposure",$K109)</formula>
    </cfRule>
  </conditionalFormatting>
  <conditionalFormatting sqref="L109">
    <cfRule type="cellIs" dxfId="104" priority="106" operator="equal">
      <formula>"Y"</formula>
    </cfRule>
    <cfRule type="cellIs" dxfId="103" priority="107" operator="equal">
      <formula>"N"</formula>
    </cfRule>
  </conditionalFormatting>
  <conditionalFormatting sqref="M109">
    <cfRule type="expression" dxfId="102" priority="105">
      <formula>SEARCH("no exposure",$K109)</formula>
    </cfRule>
  </conditionalFormatting>
  <conditionalFormatting sqref="N109">
    <cfRule type="expression" dxfId="101" priority="104">
      <formula>SEARCH("no exposure",$K109)</formula>
    </cfRule>
  </conditionalFormatting>
  <conditionalFormatting sqref="O109">
    <cfRule type="expression" dxfId="100" priority="103">
      <formula>SEARCH("no exposure",$K109)</formula>
    </cfRule>
  </conditionalFormatting>
  <conditionalFormatting sqref="C110">
    <cfRule type="expression" dxfId="99" priority="102">
      <formula>SEARCH("no exposure",$K110)</formula>
    </cfRule>
  </conditionalFormatting>
  <conditionalFormatting sqref="E110">
    <cfRule type="expression" dxfId="98" priority="101">
      <formula>SEARCH("no exposure",$K110)</formula>
    </cfRule>
  </conditionalFormatting>
  <conditionalFormatting sqref="F110">
    <cfRule type="expression" dxfId="97" priority="100">
      <formula>SEARCH("no exposure",$K110)</formula>
    </cfRule>
  </conditionalFormatting>
  <conditionalFormatting sqref="J110">
    <cfRule type="expression" dxfId="96" priority="99">
      <formula>SEARCH("no exposure",$K110)</formula>
    </cfRule>
  </conditionalFormatting>
  <conditionalFormatting sqref="K110">
    <cfRule type="expression" dxfId="95" priority="98">
      <formula>SEARCH("No Exposure",$K110)</formula>
    </cfRule>
  </conditionalFormatting>
  <conditionalFormatting sqref="L110">
    <cfRule type="cellIs" dxfId="94" priority="96" operator="equal">
      <formula>"Y"</formula>
    </cfRule>
    <cfRule type="cellIs" dxfId="93" priority="97" operator="equal">
      <formula>"N"</formula>
    </cfRule>
  </conditionalFormatting>
  <conditionalFormatting sqref="M110">
    <cfRule type="expression" dxfId="92" priority="95">
      <formula>SEARCH("no exposure",$K110)</formula>
    </cfRule>
  </conditionalFormatting>
  <conditionalFormatting sqref="N110">
    <cfRule type="expression" dxfId="91" priority="94">
      <formula>SEARCH("no exposure",$K110)</formula>
    </cfRule>
  </conditionalFormatting>
  <conditionalFormatting sqref="O110">
    <cfRule type="expression" dxfId="90" priority="93">
      <formula>SEARCH("no exposure",$K110)</formula>
    </cfRule>
  </conditionalFormatting>
  <conditionalFormatting sqref="C111">
    <cfRule type="expression" dxfId="89" priority="92">
      <formula>SEARCH("no exposure",$K111)</formula>
    </cfRule>
  </conditionalFormatting>
  <conditionalFormatting sqref="E111">
    <cfRule type="expression" dxfId="88" priority="91">
      <formula>SEARCH("no exposure",$K111)</formula>
    </cfRule>
  </conditionalFormatting>
  <conditionalFormatting sqref="F111">
    <cfRule type="expression" dxfId="87" priority="90">
      <formula>SEARCH("no exposure",$K111)</formula>
    </cfRule>
  </conditionalFormatting>
  <conditionalFormatting sqref="J111">
    <cfRule type="expression" dxfId="86" priority="89">
      <formula>SEARCH("no exposure",$K111)</formula>
    </cfRule>
  </conditionalFormatting>
  <conditionalFormatting sqref="K111">
    <cfRule type="expression" dxfId="85" priority="88">
      <formula>SEARCH("No Exposure",$K111)</formula>
    </cfRule>
  </conditionalFormatting>
  <conditionalFormatting sqref="L111">
    <cfRule type="cellIs" dxfId="84" priority="86" operator="equal">
      <formula>"Y"</formula>
    </cfRule>
    <cfRule type="cellIs" dxfId="83" priority="87" operator="equal">
      <formula>"N"</formula>
    </cfRule>
  </conditionalFormatting>
  <conditionalFormatting sqref="M111">
    <cfRule type="expression" dxfId="82" priority="85">
      <formula>SEARCH("no exposure",$K111)</formula>
    </cfRule>
  </conditionalFormatting>
  <conditionalFormatting sqref="N111">
    <cfRule type="expression" dxfId="81" priority="84">
      <formula>SEARCH("no exposure",$K111)</formula>
    </cfRule>
  </conditionalFormatting>
  <conditionalFormatting sqref="O111">
    <cfRule type="expression" dxfId="80" priority="83">
      <formula>SEARCH("no exposure",$K111)</formula>
    </cfRule>
  </conditionalFormatting>
  <conditionalFormatting sqref="C112">
    <cfRule type="expression" dxfId="79" priority="82">
      <formula>SEARCH("no exposure",$K112)</formula>
    </cfRule>
  </conditionalFormatting>
  <conditionalFormatting sqref="E112">
    <cfRule type="expression" dxfId="78" priority="81">
      <formula>SEARCH("no exposure",$K112)</formula>
    </cfRule>
  </conditionalFormatting>
  <conditionalFormatting sqref="F112">
    <cfRule type="expression" dxfId="77" priority="80">
      <formula>SEARCH("no exposure",$K112)</formula>
    </cfRule>
  </conditionalFormatting>
  <conditionalFormatting sqref="J112">
    <cfRule type="expression" dxfId="76" priority="79">
      <formula>SEARCH("no exposure",$K112)</formula>
    </cfRule>
  </conditionalFormatting>
  <conditionalFormatting sqref="K112">
    <cfRule type="expression" dxfId="75" priority="78">
      <formula>SEARCH("No Exposure",$K112)</formula>
    </cfRule>
  </conditionalFormatting>
  <conditionalFormatting sqref="L112">
    <cfRule type="cellIs" dxfId="74" priority="76" operator="equal">
      <formula>"Y"</formula>
    </cfRule>
    <cfRule type="cellIs" dxfId="73" priority="77" operator="equal">
      <formula>"N"</formula>
    </cfRule>
  </conditionalFormatting>
  <conditionalFormatting sqref="M112">
    <cfRule type="expression" dxfId="72" priority="75">
      <formula>SEARCH("no exposure",$K112)</formula>
    </cfRule>
  </conditionalFormatting>
  <conditionalFormatting sqref="N112">
    <cfRule type="expression" dxfId="71" priority="74">
      <formula>SEARCH("no exposure",$K112)</formula>
    </cfRule>
  </conditionalFormatting>
  <conditionalFormatting sqref="O112">
    <cfRule type="expression" dxfId="70" priority="73">
      <formula>SEARCH("no exposure",$K112)</formula>
    </cfRule>
  </conditionalFormatting>
  <conditionalFormatting sqref="C113">
    <cfRule type="expression" dxfId="69" priority="72">
      <formula>SEARCH("no exposure",$K113)</formula>
    </cfRule>
  </conditionalFormatting>
  <conditionalFormatting sqref="E113">
    <cfRule type="expression" dxfId="68" priority="71">
      <formula>SEARCH("no exposure",$K113)</formula>
    </cfRule>
  </conditionalFormatting>
  <conditionalFormatting sqref="F113">
    <cfRule type="expression" dxfId="67" priority="70">
      <formula>SEARCH("no exposure",$K113)</formula>
    </cfRule>
  </conditionalFormatting>
  <conditionalFormatting sqref="J113">
    <cfRule type="expression" dxfId="66" priority="69">
      <formula>SEARCH("no exposure",$K113)</formula>
    </cfRule>
  </conditionalFormatting>
  <conditionalFormatting sqref="K113">
    <cfRule type="expression" dxfId="65" priority="68">
      <formula>SEARCH("No Exposure",$K113)</formula>
    </cfRule>
  </conditionalFormatting>
  <conditionalFormatting sqref="L113">
    <cfRule type="cellIs" dxfId="64" priority="66" operator="equal">
      <formula>"Y"</formula>
    </cfRule>
    <cfRule type="cellIs" dxfId="63" priority="67" operator="equal">
      <formula>"N"</formula>
    </cfRule>
  </conditionalFormatting>
  <conditionalFormatting sqref="M113">
    <cfRule type="expression" dxfId="62" priority="65">
      <formula>SEARCH("no exposure",$K113)</formula>
    </cfRule>
  </conditionalFormatting>
  <conditionalFormatting sqref="N113">
    <cfRule type="expression" dxfId="61" priority="64">
      <formula>SEARCH("no exposure",$K113)</formula>
    </cfRule>
  </conditionalFormatting>
  <conditionalFormatting sqref="O113">
    <cfRule type="expression" dxfId="60" priority="63">
      <formula>SEARCH("no exposure",$K113)</formula>
    </cfRule>
  </conditionalFormatting>
  <conditionalFormatting sqref="C114">
    <cfRule type="expression" dxfId="59" priority="62">
      <formula>SEARCH("no exposure",$K114)</formula>
    </cfRule>
  </conditionalFormatting>
  <conditionalFormatting sqref="E114">
    <cfRule type="expression" dxfId="58" priority="61">
      <formula>SEARCH("no exposure",$K114)</formula>
    </cfRule>
  </conditionalFormatting>
  <conditionalFormatting sqref="F114">
    <cfRule type="expression" dxfId="57" priority="60">
      <formula>SEARCH("no exposure",$K114)</formula>
    </cfRule>
  </conditionalFormatting>
  <conditionalFormatting sqref="J114">
    <cfRule type="expression" dxfId="56" priority="59">
      <formula>SEARCH("no exposure",$K114)</formula>
    </cfRule>
  </conditionalFormatting>
  <conditionalFormatting sqref="K114">
    <cfRule type="expression" dxfId="55" priority="58">
      <formula>SEARCH("No Exposure",$K114)</formula>
    </cfRule>
  </conditionalFormatting>
  <conditionalFormatting sqref="L114">
    <cfRule type="cellIs" dxfId="54" priority="56" operator="equal">
      <formula>"Y"</formula>
    </cfRule>
    <cfRule type="cellIs" dxfId="53" priority="57" operator="equal">
      <formula>"N"</formula>
    </cfRule>
  </conditionalFormatting>
  <conditionalFormatting sqref="M114">
    <cfRule type="expression" dxfId="52" priority="55">
      <formula>SEARCH("no exposure",$K114)</formula>
    </cfRule>
  </conditionalFormatting>
  <conditionalFormatting sqref="N114">
    <cfRule type="expression" dxfId="51" priority="54">
      <formula>SEARCH("no exposure",$K114)</formula>
    </cfRule>
  </conditionalFormatting>
  <conditionalFormatting sqref="O114">
    <cfRule type="expression" dxfId="50" priority="53">
      <formula>SEARCH("no exposure",$K114)</formula>
    </cfRule>
  </conditionalFormatting>
  <conditionalFormatting sqref="C115">
    <cfRule type="expression" dxfId="49" priority="52">
      <formula>SEARCH("no exposure",$K115)</formula>
    </cfRule>
  </conditionalFormatting>
  <conditionalFormatting sqref="E115">
    <cfRule type="expression" dxfId="48" priority="51">
      <formula>SEARCH("no exposure",$K115)</formula>
    </cfRule>
  </conditionalFormatting>
  <conditionalFormatting sqref="F115">
    <cfRule type="expression" dxfId="47" priority="50">
      <formula>SEARCH("no exposure",$K115)</formula>
    </cfRule>
  </conditionalFormatting>
  <conditionalFormatting sqref="J115">
    <cfRule type="expression" dxfId="46" priority="49">
      <formula>SEARCH("no exposure",$K115)</formula>
    </cfRule>
  </conditionalFormatting>
  <conditionalFormatting sqref="K115">
    <cfRule type="expression" dxfId="45" priority="48">
      <formula>SEARCH("No Exposure",$K115)</formula>
    </cfRule>
  </conditionalFormatting>
  <conditionalFormatting sqref="L115">
    <cfRule type="cellIs" dxfId="44" priority="46" operator="equal">
      <formula>"Y"</formula>
    </cfRule>
    <cfRule type="cellIs" dxfId="43" priority="47" operator="equal">
      <formula>"N"</formula>
    </cfRule>
  </conditionalFormatting>
  <conditionalFormatting sqref="M115">
    <cfRule type="expression" dxfId="42" priority="45">
      <formula>SEARCH("no exposure",$K115)</formula>
    </cfRule>
  </conditionalFormatting>
  <conditionalFormatting sqref="N115">
    <cfRule type="expression" dxfId="41" priority="43">
      <formula>SEARCH("no exposure",$K115)</formula>
    </cfRule>
  </conditionalFormatting>
  <conditionalFormatting sqref="O115">
    <cfRule type="expression" dxfId="40" priority="42">
      <formula>SEARCH("no exposure",$K115)</formula>
    </cfRule>
  </conditionalFormatting>
  <conditionalFormatting sqref="C116">
    <cfRule type="expression" dxfId="39" priority="41">
      <formula>SEARCH("no exposure",$K116)</formula>
    </cfRule>
  </conditionalFormatting>
  <conditionalFormatting sqref="E116">
    <cfRule type="expression" dxfId="38" priority="40">
      <formula>SEARCH("no exposure",$K116)</formula>
    </cfRule>
  </conditionalFormatting>
  <conditionalFormatting sqref="F116">
    <cfRule type="expression" dxfId="37" priority="39">
      <formula>SEARCH("no exposure",$K116)</formula>
    </cfRule>
  </conditionalFormatting>
  <conditionalFormatting sqref="J116">
    <cfRule type="expression" dxfId="36" priority="38">
      <formula>SEARCH("no exposure",$K116)</formula>
    </cfRule>
  </conditionalFormatting>
  <conditionalFormatting sqref="K116">
    <cfRule type="expression" dxfId="35" priority="37">
      <formula>SEARCH("No Exposure",$K116)</formula>
    </cfRule>
  </conditionalFormatting>
  <conditionalFormatting sqref="L116">
    <cfRule type="cellIs" dxfId="34" priority="35" operator="equal">
      <formula>"Y"</formula>
    </cfRule>
    <cfRule type="cellIs" dxfId="33" priority="36" operator="equal">
      <formula>"N"</formula>
    </cfRule>
  </conditionalFormatting>
  <conditionalFormatting sqref="M116">
    <cfRule type="expression" dxfId="32" priority="34">
      <formula>SEARCH("no exposure",$K116)</formula>
    </cfRule>
  </conditionalFormatting>
  <conditionalFormatting sqref="N116">
    <cfRule type="expression" dxfId="31" priority="33">
      <formula>SEARCH("no exposure",$K116)</formula>
    </cfRule>
  </conditionalFormatting>
  <conditionalFormatting sqref="O116">
    <cfRule type="expression" dxfId="30" priority="32">
      <formula>SEARCH("no exposure",$K116)</formula>
    </cfRule>
  </conditionalFormatting>
  <conditionalFormatting sqref="C117">
    <cfRule type="expression" dxfId="29" priority="31">
      <formula>SEARCH("no exposure",$K117)</formula>
    </cfRule>
  </conditionalFormatting>
  <conditionalFormatting sqref="E117">
    <cfRule type="expression" dxfId="28" priority="30">
      <formula>SEARCH("no exposure",$K117)</formula>
    </cfRule>
  </conditionalFormatting>
  <conditionalFormatting sqref="F117">
    <cfRule type="expression" dxfId="27" priority="29">
      <formula>SEARCH("no exposure",$K117)</formula>
    </cfRule>
  </conditionalFormatting>
  <conditionalFormatting sqref="J117">
    <cfRule type="expression" dxfId="26" priority="28">
      <formula>SEARCH("no exposure",$K117)</formula>
    </cfRule>
  </conditionalFormatting>
  <conditionalFormatting sqref="K117">
    <cfRule type="expression" dxfId="25" priority="27">
      <formula>SEARCH("No Exposure",$K117)</formula>
    </cfRule>
  </conditionalFormatting>
  <conditionalFormatting sqref="L117">
    <cfRule type="cellIs" dxfId="24" priority="25" operator="equal">
      <formula>"Y"</formula>
    </cfRule>
    <cfRule type="cellIs" dxfId="23" priority="26" operator="equal">
      <formula>"N"</formula>
    </cfRule>
  </conditionalFormatting>
  <conditionalFormatting sqref="M117">
    <cfRule type="expression" dxfId="22" priority="24">
      <formula>SEARCH("no exposure",$K117)</formula>
    </cfRule>
  </conditionalFormatting>
  <conditionalFormatting sqref="N117">
    <cfRule type="expression" dxfId="21" priority="23">
      <formula>SEARCH("no exposure",$K117)</formula>
    </cfRule>
  </conditionalFormatting>
  <conditionalFormatting sqref="O117">
    <cfRule type="expression" dxfId="20" priority="22">
      <formula>SEARCH("no exposure",$K117)</formula>
    </cfRule>
  </conditionalFormatting>
  <conditionalFormatting sqref="C118">
    <cfRule type="expression" dxfId="19" priority="21">
      <formula>SEARCH("no exposure",$K118)</formula>
    </cfRule>
  </conditionalFormatting>
  <conditionalFormatting sqref="E118">
    <cfRule type="expression" dxfId="18" priority="20">
      <formula>SEARCH("no exposure",$K118)</formula>
    </cfRule>
  </conditionalFormatting>
  <conditionalFormatting sqref="F118">
    <cfRule type="expression" dxfId="17" priority="19">
      <formula>SEARCH("no exposure",$K118)</formula>
    </cfRule>
  </conditionalFormatting>
  <conditionalFormatting sqref="J118">
    <cfRule type="expression" dxfId="16" priority="18">
      <formula>SEARCH("no exposure",$K118)</formula>
    </cfRule>
  </conditionalFormatting>
  <conditionalFormatting sqref="K118">
    <cfRule type="expression" dxfId="15" priority="17">
      <formula>SEARCH("No Exposure",$K118)</formula>
    </cfRule>
  </conditionalFormatting>
  <conditionalFormatting sqref="L118">
    <cfRule type="cellIs" dxfId="14" priority="15" operator="equal">
      <formula>"Y"</formula>
    </cfRule>
    <cfRule type="cellIs" dxfId="13" priority="16" operator="equal">
      <formula>"N"</formula>
    </cfRule>
  </conditionalFormatting>
  <conditionalFormatting sqref="M118">
    <cfRule type="expression" dxfId="12" priority="14">
      <formula>SEARCH("no exposure",$K118)</formula>
    </cfRule>
  </conditionalFormatting>
  <conditionalFormatting sqref="O118">
    <cfRule type="expression" dxfId="11" priority="12">
      <formula>SEARCH("no exposure",$K118)</formula>
    </cfRule>
  </conditionalFormatting>
  <conditionalFormatting sqref="N118">
    <cfRule type="expression" dxfId="10" priority="11">
      <formula>SEARCH("no exposure",$K118)</formula>
    </cfRule>
  </conditionalFormatting>
  <conditionalFormatting sqref="C119">
    <cfRule type="expression" dxfId="9" priority="10">
      <formula>SEARCH("no exposure",$K119)</formula>
    </cfRule>
  </conditionalFormatting>
  <conditionalFormatting sqref="E119">
    <cfRule type="expression" dxfId="8" priority="9">
      <formula>SEARCH("no exposure",$K119)</formula>
    </cfRule>
  </conditionalFormatting>
  <conditionalFormatting sqref="F119">
    <cfRule type="expression" dxfId="7" priority="8">
      <formula>SEARCH("no exposure",$K119)</formula>
    </cfRule>
  </conditionalFormatting>
  <conditionalFormatting sqref="J119">
    <cfRule type="expression" dxfId="6" priority="7">
      <formula>SEARCH("no exposure",$K119)</formula>
    </cfRule>
  </conditionalFormatting>
  <conditionalFormatting sqref="K119">
    <cfRule type="expression" dxfId="5" priority="6">
      <formula>SEARCH("No Exposure",$K119)</formula>
    </cfRule>
  </conditionalFormatting>
  <conditionalFormatting sqref="L119">
    <cfRule type="cellIs" dxfId="4" priority="4" operator="equal">
      <formula>"Y"</formula>
    </cfRule>
    <cfRule type="cellIs" dxfId="3" priority="5" operator="equal">
      <formula>"N"</formula>
    </cfRule>
  </conditionalFormatting>
  <conditionalFormatting sqref="M119">
    <cfRule type="expression" dxfId="2" priority="3">
      <formula>SEARCH("no exposure",$K119)</formula>
    </cfRule>
  </conditionalFormatting>
  <conditionalFormatting sqref="N119">
    <cfRule type="expression" dxfId="1" priority="2">
      <formula>SEARCH("no exposure",$K119)</formula>
    </cfRule>
  </conditionalFormatting>
  <conditionalFormatting sqref="O119">
    <cfRule type="expression" dxfId="0" priority="1">
      <formula>SEARCH("no exposure",$K119)</formula>
    </cfRule>
  </conditionalFormatting>
  <hyperlinks>
    <hyperlink ref="A3" location="'Wand Intermediate'!A1" display="ABRA/Wand Intermediate" xr:uid="{00000000-0004-0000-0000-000000000000}"/>
    <hyperlink ref="A4" location="'Accudyne Industries'!A1" display="Accudyne Industries" xr:uid="{00000000-0004-0000-0000-000001000000}"/>
    <hyperlink ref="A5" location="'Aclara Technologies'!A1" display="Aclara Technologies" xr:uid="{00000000-0004-0000-0000-000002000000}"/>
    <hyperlink ref="A8" location="'Allison Transmission'!A1" display="Allison Transmission" xr:uid="{00000000-0004-0000-0000-000003000000}"/>
    <hyperlink ref="A11" location="'American Axle'!A1" display="American Axle" xr:uid="{00000000-0004-0000-0000-000004000000}"/>
    <hyperlink ref="A17" location="'Astoria Energy'!A1" display="Astoria Energy" xr:uid="{00000000-0004-0000-0000-000005000000}"/>
    <hyperlink ref="A13" location="Atotech!A1" display="Atotech" xr:uid="{00000000-0004-0000-0000-000006000000}"/>
    <hyperlink ref="A19" location="Avolon!A1" display="Avolon" xr:uid="{00000000-0004-0000-0000-000007000000}"/>
    <hyperlink ref="A16" location="'Birch Communications'!A1" display="Birch Communications" xr:uid="{00000000-0004-0000-0000-000008000000}"/>
    <hyperlink ref="A27" location="'Brand Energy'!A1" display="Brand Energy" xr:uid="{00000000-0004-0000-0000-000009000000}"/>
    <hyperlink ref="A33" location="'Calpine Corp'!A1" display="Calpine Corp" xr:uid="{00000000-0004-0000-0000-00000A000000}"/>
    <hyperlink ref="A26" location="'Casella Waste'!A1" display="Casella Waste" xr:uid="{00000000-0004-0000-0000-00000B000000}"/>
    <hyperlink ref="A31" location="'Dayton Power &amp; Light'!A1" display="Dayton Power &amp; Light" xr:uid="{00000000-0004-0000-0000-00000C000000}"/>
    <hyperlink ref="A32" location="'Dealer Tire'!A1" display="Dealer Tire" xr:uid="{00000000-0004-0000-0000-00000D000000}"/>
    <hyperlink ref="A34" location="'Dixie Electric'!A1" display="Dixie Electric" xr:uid="{00000000-0004-0000-0000-00000E000000}"/>
    <hyperlink ref="A35" location="Doncasters!A1" display="Doncasters" xr:uid="{00000000-0004-0000-0000-00000F000000}"/>
    <hyperlink ref="A119" location="'XPO Logistics'!A1" display="XPO Logistics" xr:uid="{00000000-0004-0000-0000-000010000000}"/>
    <hyperlink ref="A118" location="'WireCo WorldGroup'!A1" display="WireCo WorldGroup" xr:uid="{00000000-0004-0000-0000-000011000000}"/>
    <hyperlink ref="A107" location="Wheelabrator!A1" display="Wheelabrator/Granite" xr:uid="{00000000-0004-0000-0000-000012000000}"/>
    <hyperlink ref="A113" location="'Vistra Energy'!A1" display="Vistra Energy" xr:uid="{00000000-0004-0000-0000-000013000000}"/>
    <hyperlink ref="A87" location="Vencore!A1" display="Vencore" xr:uid="{00000000-0004-0000-0000-000014000000}"/>
    <hyperlink ref="A108" location="'TRC Companies'!A1" display="TRC Companies" xr:uid="{00000000-0004-0000-0000-000015000000}"/>
    <hyperlink ref="A79" location="'Tekni-Plex'!A1" display="Tekni-Plex" xr:uid="{00000000-0004-0000-0000-000016000000}"/>
    <hyperlink ref="A78" location="'Talen Energy'!A1" display="Talen Energy" xr:uid="{00000000-0004-0000-0000-000017000000}"/>
    <hyperlink ref="A75" location="'Southeast PowerGen'!A1" display="Southeast PowerGen" xr:uid="{00000000-0004-0000-0000-000018000000}"/>
    <hyperlink ref="A86" location="'Service King'!A1" display="Service King/Midas" xr:uid="{00000000-0004-0000-0000-000019000000}"/>
    <hyperlink ref="A96" location="'Quality Distribution'!A1" display="Quality Distribution" xr:uid="{00000000-0004-0000-0000-00001A000000}"/>
    <hyperlink ref="A84" location="'Power Buyer'!A1" display="Power Buyer" xr:uid="{00000000-0004-0000-0000-00001C000000}"/>
    <hyperlink ref="A82" location="'Pike Corporation'!A1" display="Pike Corporation" xr:uid="{00000000-0004-0000-0000-00001D000000}"/>
    <hyperlink ref="A80" location="'Linden Cogeneration'!A1" display="Linden Cogeneration" xr:uid="{00000000-0004-0000-0000-00001E000000}"/>
    <hyperlink ref="A77" location="'Lightstone Generation'!A1" display="Lightstone Generation" xr:uid="{00000000-0004-0000-0000-00001F000000}"/>
    <hyperlink ref="A56" location="'KCA Deutag US Finance'!A1" display="KCA Deutag US Finance" xr:uid="{00000000-0004-0000-0000-000020000000}"/>
    <hyperlink ref="A72" location="'K&amp;N Engineering'!A1" display="K&amp;N Engineering" xr:uid="{00000000-0004-0000-0000-000021000000}"/>
    <hyperlink ref="A54" location="'Jeld-Wen'!A1" display="Jeld-Wen" xr:uid="{00000000-0004-0000-0000-000022000000}"/>
    <hyperlink ref="A51" location="'Huntsman International LLC'!A1" display="Huntsman International LLC" xr:uid="{00000000-0004-0000-0000-000023000000}"/>
    <hyperlink ref="A68" location="Harsco!A1" display="Harsco" xr:uid="{00000000-0004-0000-0000-000024000000}"/>
    <hyperlink ref="A66" location="'Gulf Finance'!A1" display="Gulf Finance" xr:uid="{00000000-0004-0000-0000-000025000000}"/>
    <hyperlink ref="A42" location="'Federal-Mogul Corporation'!A1" display="Federal-Mogul Corporation" xr:uid="{00000000-0004-0000-0000-000026000000}"/>
    <hyperlink ref="A46" location="Evoqua!A1" display="Evoqua" xr:uid="{00000000-0004-0000-0000-000027000000}"/>
    <hyperlink ref="A89" location="'Waste Industries'!A1" display="Waste Industries" xr:uid="{00000000-0004-0000-0000-000028000000}"/>
    <hyperlink ref="A93" location="'PSC Hydrochem'!A1" display="PSC Hydrochem" xr:uid="{00000000-0004-0000-0000-000029000000}"/>
    <hyperlink ref="A50" location="'Exgen Renewables'!A1" display="Exgen Renewables" xr:uid="{00000000-0004-0000-0000-00002A000000}"/>
    <hyperlink ref="A64" location="GrafTech!A1" display="GrafTech" xr:uid="{00000000-0004-0000-0000-00002B000000}"/>
    <hyperlink ref="A67" location="'Janus International'!A1" display="Janus International" xr:uid="{00000000-0004-0000-0000-00002C000000}"/>
    <hyperlink ref="A81" location="'MB Aerospace'!A1" display="MB Aerospace" xr:uid="{00000000-0004-0000-0000-00002D000000}"/>
    <hyperlink ref="A100" location="'Safe Fleet'!A1" display="Safe Fleet" xr:uid="{00000000-0004-0000-0000-00002E000000}"/>
    <hyperlink ref="A83" location="'TI Group Auto'!A1" display="TI Group Auto" xr:uid="{00000000-0004-0000-0000-00002F000000}"/>
    <hyperlink ref="A47" location="'EOC Group'!A1" display="EOC Group" xr:uid="{00000000-0004-0000-0000-000030000000}"/>
    <hyperlink ref="A53" location="'Filtration Group'!A1" display="Filtration Group" xr:uid="{00000000-0004-0000-0000-000031000000}"/>
    <hyperlink ref="A74" location="'Shape Technologies'!A1" display="Shape Technologies" xr:uid="{00000000-0004-0000-0000-000032000000}"/>
    <hyperlink ref="A69" location="Hunterstown!A1" display="Hunterstown" xr:uid="{00000000-0004-0000-0000-000033000000}"/>
    <hyperlink ref="A114" location="Wastequip!A1" display="Wastequip" xr:uid="{00000000-0004-0000-0000-000034000000}"/>
    <hyperlink ref="A9" location="'Aleris International'!A1" display="Aleris International" xr:uid="{00000000-0004-0000-0000-000035000000}"/>
    <hyperlink ref="A45" location="'Electrical Components'!A1" display="Electrical Components" xr:uid="{00000000-0004-0000-0000-000037000000}"/>
    <hyperlink ref="A25" location="'Boyd Corporation'!A1" display="Boyd Corporation" xr:uid="{00000000-0004-0000-0000-000038000000}"/>
    <hyperlink ref="A115" location="Westinghouse!A1" display="Westinghouse" xr:uid="{00000000-0004-0000-0000-000039000000}"/>
    <hyperlink ref="D83" r:id="rId1" xr:uid="{00000000-0004-0000-0000-00003A000000}"/>
    <hyperlink ref="A85" location="Tenneco!A1" display="Tenneco" xr:uid="{00000000-0004-0000-0000-00003B000000}"/>
    <hyperlink ref="A73" location="'Kymera International'!A1" display="Kymera International" xr:uid="{00000000-0004-0000-0000-00003C000000}"/>
    <hyperlink ref="A70" location="'Husky International'!A1" display="Husky International" xr:uid="{00000000-0004-0000-0000-00003D000000}"/>
    <hyperlink ref="A48" location="'Garrett Advancing Motion'!A1" display="Garrett Advancing Motion" xr:uid="{00000000-0004-0000-0000-00003E000000}"/>
    <hyperlink ref="A10" location="'Altra Industrial Motion'!A1" display="Altra Industrial Motion" xr:uid="{00000000-0004-0000-0000-00003F000000}"/>
    <hyperlink ref="A92" location="'United Rentals'!A1" display="United Rentals" xr:uid="{00000000-0004-0000-0000-000040000000}"/>
    <hyperlink ref="A43" location="'Distributed Power (GE)'!A1" display="Distributed Power (GE)" xr:uid="{00000000-0004-0000-0000-000041000000}"/>
    <hyperlink ref="A103" location="StandardAero!A1" display="StandardAero" xr:uid="{00000000-0004-0000-0000-000042000000}"/>
    <hyperlink ref="A30" location="'Caliber Collision'!A1" display="Caliber Collision" xr:uid="{00000000-0004-0000-0000-000043000000}"/>
    <hyperlink ref="A7" location="'Airxcel, Inc.'!A1" display="Airxcel, Inc." xr:uid="{00000000-0004-0000-0000-000044000000}"/>
    <hyperlink ref="A41" location="Culligan!A1" display="Culligan" xr:uid="{00000000-0004-0000-0000-000045000000}"/>
    <hyperlink ref="A44" location="'DXP Enterprises'!A1" display="DXP Enterprises" xr:uid="{00000000-0004-0000-0000-000046000000}"/>
    <hyperlink ref="A112" location="'Vantage Specialties'!A1" display="Vantage Specialties" xr:uid="{00000000-0004-0000-0000-000047000000}"/>
    <hyperlink ref="A106" location="'TPF II Power'!A1" display="TPF II Power" xr:uid="{00000000-0004-0000-0000-000048000000}"/>
    <hyperlink ref="A88" location="'Power Solutions'!A1" display="Power Solutions" xr:uid="{00000000-0004-0000-0000-000049000000}"/>
    <hyperlink ref="A28" location="'C&amp;D Technologies'!A1" display="C&amp;D Technologies" xr:uid="{00000000-0004-0000-0000-00004A000000}"/>
    <hyperlink ref="A104" location="Sundyne!A1" display="Sundyne" xr:uid="{00000000-0004-0000-0000-00004B000000}"/>
    <hyperlink ref="A116" location="WestJet!A1" display="WestJet" xr:uid="{00000000-0004-0000-0000-00004C000000}"/>
    <hyperlink ref="A21" location="'Blackstone CQP Holdco'!A1" display="Blackstone CQP Holdco" xr:uid="{00000000-0004-0000-0000-00004D000000}"/>
    <hyperlink ref="A6" location="'Advanced Drainage Systems'!A1" display="Advanced Drainage Systems" xr:uid="{00000000-0004-0000-0000-00004E000000}"/>
    <hyperlink ref="A14" location="'APi Group'!A1" display="APi Group" xr:uid="{00000000-0004-0000-0000-00004F000000}"/>
    <hyperlink ref="A12" location="'American Tire Distributors'!A1" display="American Tire Distributors" xr:uid="{00000000-0004-0000-0000-000050000000}"/>
    <hyperlink ref="A38" location="'Columbus Mckinnon'!A1" display="Columbus Mckinnon" xr:uid="{00000000-0004-0000-0000-000051000000}"/>
    <hyperlink ref="A39" location="'CPM Acquisition'!A1" display="CPM Acquisition" xr:uid="{00000000-0004-0000-0000-000052000000}"/>
    <hyperlink ref="A40" location="Crosby!A1" display="Crosby" xr:uid="{00000000-0004-0000-0000-000053000000}"/>
    <hyperlink ref="A61" location="'GFL Environmental'!A1" display="GFL Environmental" xr:uid="{00000000-0004-0000-0000-000054000000}"/>
    <hyperlink ref="A110" location="'United Site Services (USS)'!A1" display="United Site Services (USS)" xr:uid="{00000000-0004-0000-0000-000055000000}"/>
    <hyperlink ref="A60" location="'Genesee &amp; Wyoming'!A1" display="Genesee &amp; Wyoming" xr:uid="{00000000-0004-0000-0000-000056000000}"/>
    <hyperlink ref="A37" location="Cobham!A1" display="Cobham" xr:uid="{00000000-0004-0000-0000-000057000000}"/>
    <hyperlink ref="A105" location="'Thyssenkrupp Elevator'!A1" display="Thyssenkrupp Elevator" xr:uid="{519AEC28-DFAE-4D26-8128-C47E881C95C4}"/>
    <hyperlink ref="A15" location="Asplundh!A1" display="Asplundh" xr:uid="{6769AAF8-5DAB-4C1A-ADD2-DD3BB9FB0D97}"/>
    <hyperlink ref="A90" location="'PQ Corporation'!A1" display="PQ Corporation" xr:uid="{CF56E87C-1BDA-4F82-9000-5A9591A7617E}"/>
    <hyperlink ref="A117" location="'White Cap'!A1" display="White Cap " xr:uid="{4A01F037-6371-4A63-9EC2-35B42F624601}"/>
    <hyperlink ref="A111" location="'US LBM'!A1" display="US LBM" xr:uid="{0070CF59-7E6B-4328-8BB6-6ADF02AC6DCB}"/>
    <hyperlink ref="A109" location="'Truck Hero'!A1" display="Truck Hero" xr:uid="{38AF8D4F-96FB-48BB-B265-958CDF1F7813}"/>
    <hyperlink ref="A91" location="'Protective Industrial Products'!A1" display="Protective Industrial Products" xr:uid="{9F366B87-CE9C-472E-972D-C24F28F9837E}"/>
    <hyperlink ref="A59" location="'Foundation Building Materials'!A1" display="Foundation Building Materials (&quot;FBM&quot;)" xr:uid="{2A0A260D-3456-4B99-9C1C-2BB99E05764D}"/>
    <hyperlink ref="A57" location="'Sheet 1'!A1" display="Flow Control Group" xr:uid="{75AD221E-899E-48E5-AE0A-590F43E8CED7}"/>
    <hyperlink ref="A55" location="'First Brands Group'!A1" display="First Brands Group" xr:uid="{CA92980F-461D-41B6-9432-1137ABC1409B}"/>
    <hyperlink ref="A101" location="'Signature Aviation'!A1" display="Signature Aviation" xr:uid="{9D43E966-6827-4999-A72C-B4BDAB95A9DA}"/>
    <hyperlink ref="A29" location="Cabinetworks!A1" display="Cabinetworks" xr:uid="{76578CD0-02A4-4974-A892-2113539C2E84}"/>
    <hyperlink ref="A97" location="'Sabre Industries'!A1" display="Sabre Industries" xr:uid="{BFA7F164-24FC-40E3-ABB4-6F36D7DFEDE7}"/>
    <hyperlink ref="A76" location="'LaserShip Holdings, Inc.'!A1" display="LaserShip Holdings, Inc." xr:uid="{A6ACAD3F-54B1-47EF-ACA3-58D3E65BB5C6}"/>
    <hyperlink ref="A52" location="'Fairbanks Morse Defense'!A1" display="Fairbanks Morse Defense" xr:uid="{F161D461-E1FE-4F9D-A529-B89D7781C8BE}"/>
    <hyperlink ref="A18" location="'Atlantic Aviation'!A1" display="Atlantic Aviation" xr:uid="{82B07FEB-CE3F-402B-975E-20723A93F4C0}"/>
    <hyperlink ref="A20" location="'BBB Industries'!A1" display="BBB Industries" xr:uid="{A77ACA43-A573-4D60-9619-36799E20CC16}"/>
    <hyperlink ref="A102" location="'Standard Industries'!A1" display="Standard Industries" xr:uid="{9F450EFB-D0C6-404B-9BBD-33A4B52573AF}"/>
  </hyperlinks>
  <pageMargins left="0.7" right="0.7" top="0.75" bottom="0.75" header="0.3" footer="0.3"/>
  <pageSetup orientation="portrait" horizontalDpi="90" verticalDpi="90"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AC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23" width="10.6640625" style="14" customWidth="1"/>
    <col min="24" max="16384" width="9.109375" style="14"/>
  </cols>
  <sheetData>
    <row r="2" spans="1:29">
      <c r="A2" s="13" t="s">
        <v>44</v>
      </c>
      <c r="B2" s="14" t="s">
        <v>15</v>
      </c>
    </row>
    <row r="3" spans="1:29" s="16" customFormat="1">
      <c r="A3" s="15" t="s">
        <v>45</v>
      </c>
      <c r="B3" s="16" t="s">
        <v>126</v>
      </c>
    </row>
    <row r="4" spans="1:29">
      <c r="A4" s="13" t="s">
        <v>2</v>
      </c>
      <c r="B4" s="14" t="s">
        <v>493</v>
      </c>
    </row>
    <row r="5" spans="1:29">
      <c r="A5" s="13" t="s">
        <v>46</v>
      </c>
    </row>
    <row r="6" spans="1:29">
      <c r="A6" s="13" t="s">
        <v>47</v>
      </c>
      <c r="B6" s="14">
        <v>3</v>
      </c>
    </row>
    <row r="7" spans="1:29">
      <c r="A7" s="13" t="s">
        <v>48</v>
      </c>
      <c r="B7" s="14" t="s">
        <v>466</v>
      </c>
    </row>
    <row r="8" spans="1:29">
      <c r="A8" s="13" t="s">
        <v>347</v>
      </c>
      <c r="B8" s="14" t="s">
        <v>395</v>
      </c>
    </row>
    <row r="9" spans="1:29">
      <c r="A9" s="17"/>
    </row>
    <row r="10" spans="1:29">
      <c r="A10" s="17" t="s">
        <v>49</v>
      </c>
      <c r="B10" s="18">
        <v>44196</v>
      </c>
      <c r="C10" s="18">
        <v>44104</v>
      </c>
      <c r="D10" s="18">
        <v>44012</v>
      </c>
      <c r="E10" s="18">
        <v>43921</v>
      </c>
      <c r="F10" s="18">
        <v>43830</v>
      </c>
      <c r="G10" s="18">
        <v>43738</v>
      </c>
      <c r="H10" s="18">
        <v>43646</v>
      </c>
      <c r="I10" s="18">
        <v>43555</v>
      </c>
      <c r="J10" s="18">
        <v>43465</v>
      </c>
      <c r="K10" s="18">
        <v>43373</v>
      </c>
      <c r="L10" s="18">
        <v>43281</v>
      </c>
      <c r="M10" s="18">
        <v>43190</v>
      </c>
      <c r="N10" s="18">
        <v>43100</v>
      </c>
      <c r="O10" s="18">
        <v>43008</v>
      </c>
      <c r="P10" s="18">
        <v>42916</v>
      </c>
      <c r="Q10" s="18">
        <v>42825</v>
      </c>
      <c r="R10" s="18">
        <v>42735</v>
      </c>
      <c r="S10" s="18">
        <v>42643</v>
      </c>
      <c r="T10" s="18">
        <v>42551</v>
      </c>
      <c r="U10" s="18">
        <v>42460</v>
      </c>
      <c r="V10" s="18">
        <v>42369</v>
      </c>
      <c r="W10" s="18">
        <v>42277</v>
      </c>
    </row>
    <row r="11" spans="1:29">
      <c r="B11" s="33"/>
      <c r="C11" s="33"/>
      <c r="D11" s="33"/>
      <c r="E11" s="33"/>
      <c r="F11" s="33"/>
      <c r="G11" s="33"/>
      <c r="H11" s="33"/>
      <c r="I11" s="33"/>
      <c r="J11" s="33"/>
      <c r="K11" s="33"/>
      <c r="L11" s="33"/>
      <c r="M11" s="33"/>
      <c r="N11" s="33"/>
      <c r="P11" s="33"/>
    </row>
    <row r="12" spans="1:29">
      <c r="A12" s="19" t="s">
        <v>50</v>
      </c>
      <c r="B12" s="20">
        <v>2160</v>
      </c>
      <c r="C12" s="20">
        <v>2653</v>
      </c>
      <c r="D12" s="20">
        <v>1744</v>
      </c>
      <c r="E12" s="20">
        <v>2292</v>
      </c>
      <c r="F12" s="20">
        <f>10072-G12-H12-I12</f>
        <v>2082</v>
      </c>
      <c r="G12" s="20">
        <v>2792</v>
      </c>
      <c r="H12" s="20">
        <v>2599</v>
      </c>
      <c r="I12" s="20">
        <v>2599</v>
      </c>
      <c r="J12" s="20">
        <f>9512-K12-L12-M12</f>
        <v>2354</v>
      </c>
      <c r="K12" s="20">
        <v>2890</v>
      </c>
      <c r="L12" s="20">
        <v>2259</v>
      </c>
      <c r="M12" s="20">
        <v>2009</v>
      </c>
      <c r="N12" s="20">
        <f>8752-Q12-P12-O12</f>
        <v>1801</v>
      </c>
      <c r="O12" s="20">
        <v>2586</v>
      </c>
      <c r="P12" s="20">
        <v>2084</v>
      </c>
      <c r="Q12" s="20">
        <v>2281</v>
      </c>
      <c r="R12" s="20">
        <v>1582</v>
      </c>
      <c r="S12" s="20">
        <v>2355</v>
      </c>
      <c r="T12" s="20">
        <v>1164</v>
      </c>
      <c r="U12" s="20">
        <v>1615</v>
      </c>
      <c r="V12" s="20">
        <v>1436</v>
      </c>
      <c r="W12" s="20">
        <v>1948</v>
      </c>
    </row>
    <row r="13" spans="1:29" s="21" customFormat="1">
      <c r="A13" s="21" t="s">
        <v>51</v>
      </c>
      <c r="B13" s="21">
        <f t="shared" ref="B13:S13" si="0">+B12/F12-1</f>
        <v>3.7463976945244948E-2</v>
      </c>
      <c r="C13" s="21">
        <f t="shared" si="0"/>
        <v>-4.9785100286532935E-2</v>
      </c>
      <c r="D13" s="21">
        <f t="shared" si="0"/>
        <v>-0.32897268180069261</v>
      </c>
      <c r="E13" s="21">
        <f t="shared" si="0"/>
        <v>-0.11812235475182764</v>
      </c>
      <c r="F13" s="21">
        <f t="shared" si="0"/>
        <v>-0.11554800339847071</v>
      </c>
      <c r="G13" s="21">
        <f t="shared" si="0"/>
        <v>-3.3910034602076089E-2</v>
      </c>
      <c r="H13" s="21">
        <f t="shared" si="0"/>
        <v>0.1505090748118636</v>
      </c>
      <c r="I13" s="21">
        <f t="shared" si="0"/>
        <v>0.29367844698855161</v>
      </c>
      <c r="J13" s="21">
        <f t="shared" si="0"/>
        <v>0.30705163797890056</v>
      </c>
      <c r="K13" s="21">
        <f t="shared" si="0"/>
        <v>0.11755607115235889</v>
      </c>
      <c r="L13" s="21">
        <f t="shared" si="0"/>
        <v>8.3973128598848312E-2</v>
      </c>
      <c r="M13" s="21">
        <f t="shared" si="0"/>
        <v>-0.11924594476106976</v>
      </c>
      <c r="N13" s="21">
        <f t="shared" si="0"/>
        <v>0.13843236409608095</v>
      </c>
      <c r="O13" s="21">
        <f t="shared" si="0"/>
        <v>9.8089171974522271E-2</v>
      </c>
      <c r="P13" s="21">
        <f t="shared" si="0"/>
        <v>0.79037800687285231</v>
      </c>
      <c r="Q13" s="21">
        <f t="shared" si="0"/>
        <v>0.41238390092879262</v>
      </c>
      <c r="R13" s="21">
        <f t="shared" si="0"/>
        <v>0.10167130919220058</v>
      </c>
      <c r="S13" s="21">
        <f t="shared" si="0"/>
        <v>0.20893223819301854</v>
      </c>
      <c r="Y13" s="14"/>
    </row>
    <row r="14" spans="1:29"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t="s">
        <v>3</v>
      </c>
      <c r="P14" s="23" t="s">
        <v>3</v>
      </c>
      <c r="Q14" s="23" t="s">
        <v>3</v>
      </c>
      <c r="R14" s="23" t="s">
        <v>3</v>
      </c>
      <c r="S14" s="23" t="s">
        <v>3</v>
      </c>
      <c r="T14" s="22"/>
      <c r="U14" s="22"/>
      <c r="V14" s="22"/>
      <c r="W14" s="22"/>
      <c r="Y14" s="14"/>
    </row>
    <row r="15" spans="1:29">
      <c r="B15" s="33"/>
      <c r="C15" s="33"/>
      <c r="D15" s="33"/>
      <c r="E15" s="33"/>
      <c r="F15" s="33"/>
      <c r="K15" s="33"/>
      <c r="L15" s="33"/>
      <c r="O15" s="33"/>
      <c r="P15" s="33"/>
      <c r="Y15" s="14" t="s">
        <v>473</v>
      </c>
      <c r="Z15" s="14">
        <f>802-358</f>
        <v>444</v>
      </c>
      <c r="AA15" s="14">
        <v>417</v>
      </c>
      <c r="AB15" s="140">
        <f t="shared" ref="AB15:AB20" si="1">Z15-AA15</f>
        <v>27</v>
      </c>
      <c r="AC15" s="130">
        <f>Z15/AA15-1</f>
        <v>6.4748201438848962E-2</v>
      </c>
    </row>
    <row r="16" spans="1:29" s="17" customFormat="1">
      <c r="A16" s="25" t="s">
        <v>53</v>
      </c>
      <c r="B16" s="26">
        <v>441</v>
      </c>
      <c r="C16" s="26">
        <v>1042</v>
      </c>
      <c r="D16" s="26">
        <v>486</v>
      </c>
      <c r="E16" s="26">
        <v>345</v>
      </c>
      <c r="F16" s="26">
        <v>368</v>
      </c>
      <c r="G16" s="26">
        <v>868</v>
      </c>
      <c r="H16" s="26">
        <v>902</v>
      </c>
      <c r="I16" s="26">
        <v>902</v>
      </c>
      <c r="J16" s="26">
        <v>902</v>
      </c>
      <c r="K16" s="26">
        <v>732</v>
      </c>
      <c r="L16" s="26">
        <f>89+443+0+183-11+57+9-M16</f>
        <v>447</v>
      </c>
      <c r="M16" s="26">
        <f>-328+223+371-6+57+6</f>
        <v>323</v>
      </c>
      <c r="N16" s="26">
        <f>1855-O16-P16-Q16</f>
        <v>441</v>
      </c>
      <c r="O16" s="26">
        <v>669</v>
      </c>
      <c r="P16" s="26">
        <v>419</v>
      </c>
      <c r="Q16" s="26">
        <v>326</v>
      </c>
      <c r="R16" s="26">
        <v>357</v>
      </c>
      <c r="S16" s="26">
        <v>632</v>
      </c>
      <c r="T16" s="26">
        <v>452</v>
      </c>
      <c r="U16" s="26">
        <v>374</v>
      </c>
      <c r="V16" s="26">
        <v>390</v>
      </c>
      <c r="W16" s="26">
        <v>791</v>
      </c>
      <c r="X16" s="98"/>
      <c r="Y16" s="14" t="s">
        <v>474</v>
      </c>
      <c r="Z16" s="17">
        <f>-11+6</f>
        <v>-5</v>
      </c>
      <c r="AA16" s="14">
        <v>-5</v>
      </c>
      <c r="AB16" s="140">
        <f t="shared" si="1"/>
        <v>0</v>
      </c>
    </row>
    <row r="17" spans="1:29" s="21" customFormat="1">
      <c r="A17" s="21" t="s">
        <v>54</v>
      </c>
      <c r="B17" s="21">
        <f t="shared" ref="B17:C17" si="2">+B16/B12</f>
        <v>0.20416666666666666</v>
      </c>
      <c r="C17" s="21">
        <f t="shared" si="2"/>
        <v>0.3927629099133057</v>
      </c>
      <c r="D17" s="21">
        <f t="shared" ref="D17:E17" si="3">+D16/D12</f>
        <v>0.27866972477064222</v>
      </c>
      <c r="E17" s="21">
        <f t="shared" si="3"/>
        <v>0.15052356020942409</v>
      </c>
      <c r="F17" s="21">
        <f t="shared" ref="F17:G17" si="4">+F16/F12</f>
        <v>0.17675312199807877</v>
      </c>
      <c r="G17" s="21">
        <f t="shared" si="4"/>
        <v>0.31088825214899712</v>
      </c>
      <c r="H17" s="21">
        <f t="shared" ref="H17:W17" si="5">+H16/H12</f>
        <v>0.34705656021546749</v>
      </c>
      <c r="I17" s="21">
        <f t="shared" si="5"/>
        <v>0.34705656021546749</v>
      </c>
      <c r="J17" s="21">
        <f t="shared" si="5"/>
        <v>0.38317757009345793</v>
      </c>
      <c r="K17" s="21">
        <f t="shared" si="5"/>
        <v>0.2532871972318339</v>
      </c>
      <c r="L17" s="21">
        <f t="shared" si="5"/>
        <v>0.19787516600265603</v>
      </c>
      <c r="M17" s="21">
        <f t="shared" si="5"/>
        <v>0.1607765057242409</v>
      </c>
      <c r="N17" s="21">
        <f t="shared" si="5"/>
        <v>0.24486396446418657</v>
      </c>
      <c r="O17" s="21">
        <f t="shared" si="5"/>
        <v>0.25870069605568446</v>
      </c>
      <c r="P17" s="21">
        <f t="shared" si="5"/>
        <v>0.20105566218809981</v>
      </c>
      <c r="Q17" s="21">
        <f t="shared" si="5"/>
        <v>0.14291977202981149</v>
      </c>
      <c r="R17" s="21">
        <f t="shared" si="5"/>
        <v>0.22566371681415928</v>
      </c>
      <c r="S17" s="21">
        <f t="shared" si="5"/>
        <v>0.26836518046709129</v>
      </c>
      <c r="T17" s="21">
        <f t="shared" si="5"/>
        <v>0.38831615120274915</v>
      </c>
      <c r="U17" s="21">
        <f t="shared" si="5"/>
        <v>0.23157894736842105</v>
      </c>
      <c r="V17" s="21">
        <f t="shared" si="5"/>
        <v>0.27158774373259054</v>
      </c>
      <c r="W17" s="21">
        <f t="shared" si="5"/>
        <v>0.40605749486652976</v>
      </c>
      <c r="Y17" s="33" t="s">
        <v>475</v>
      </c>
      <c r="Z17" s="14">
        <f>398-199</f>
        <v>199</v>
      </c>
      <c r="AA17" s="14">
        <f>443-223</f>
        <v>220</v>
      </c>
      <c r="AB17" s="140">
        <f t="shared" si="1"/>
        <v>-21</v>
      </c>
    </row>
    <row r="18" spans="1:29" s="24" customFormat="1">
      <c r="B18" s="33"/>
      <c r="C18" s="33"/>
      <c r="D18" s="14"/>
      <c r="E18" s="14"/>
      <c r="F18" s="14"/>
      <c r="G18" s="14"/>
      <c r="H18" s="33"/>
      <c r="I18" s="33"/>
      <c r="J18" s="33"/>
      <c r="K18" s="33"/>
      <c r="Y18" s="14" t="s">
        <v>57</v>
      </c>
      <c r="Z18" s="14">
        <f>-3-19</f>
        <v>-22</v>
      </c>
      <c r="AA18" s="14">
        <f>9-6</f>
        <v>3</v>
      </c>
      <c r="AB18" s="140">
        <f t="shared" si="1"/>
        <v>-25</v>
      </c>
    </row>
    <row r="19" spans="1:29"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Y19" s="14" t="s">
        <v>476</v>
      </c>
      <c r="Z19" s="14">
        <f>-233+46</f>
        <v>-187</v>
      </c>
      <c r="AA19" s="14">
        <f>183-371</f>
        <v>-188</v>
      </c>
      <c r="AB19" s="140">
        <f t="shared" si="1"/>
        <v>1</v>
      </c>
    </row>
    <row r="20" spans="1:29"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Y20" s="14" t="s">
        <v>477</v>
      </c>
      <c r="Z20" s="17">
        <v>0</v>
      </c>
      <c r="AA20" s="17">
        <f>57-57</f>
        <v>0</v>
      </c>
      <c r="AB20" s="140">
        <f t="shared" si="1"/>
        <v>0</v>
      </c>
    </row>
    <row r="21" spans="1:29"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Z21" s="14">
        <f>SUM(Z15:Z20)</f>
        <v>429</v>
      </c>
      <c r="AA21" s="14">
        <f>SUM(AA15:AA20)</f>
        <v>447</v>
      </c>
      <c r="AC21" s="130">
        <f>Z21/AA21-1</f>
        <v>-4.0268456375838979E-2</v>
      </c>
    </row>
    <row r="22" spans="1:29" s="17" customFormat="1">
      <c r="A22" s="17" t="s">
        <v>58</v>
      </c>
      <c r="B22" s="27">
        <f t="shared" ref="B22:C22" si="6">SUM(B16,B19:B21)</f>
        <v>441</v>
      </c>
      <c r="C22" s="27">
        <f t="shared" si="6"/>
        <v>1042</v>
      </c>
      <c r="D22" s="27">
        <f t="shared" ref="D22:E22" si="7">SUM(D16,D19:D21)</f>
        <v>486</v>
      </c>
      <c r="E22" s="27">
        <f t="shared" si="7"/>
        <v>345</v>
      </c>
      <c r="F22" s="27">
        <f t="shared" ref="F22:K22" si="8">SUM(F16,F19:F21)</f>
        <v>368</v>
      </c>
      <c r="G22" s="27">
        <f t="shared" si="8"/>
        <v>868</v>
      </c>
      <c r="H22" s="27">
        <f t="shared" si="8"/>
        <v>902</v>
      </c>
      <c r="I22" s="27">
        <f t="shared" si="8"/>
        <v>902</v>
      </c>
      <c r="J22" s="27">
        <f t="shared" si="8"/>
        <v>902</v>
      </c>
      <c r="K22" s="27">
        <f t="shared" si="8"/>
        <v>732</v>
      </c>
      <c r="L22" s="27">
        <f t="shared" ref="L22:W22" si="9">SUM(L16,L19:L21)</f>
        <v>447</v>
      </c>
      <c r="M22" s="27">
        <f t="shared" si="9"/>
        <v>323</v>
      </c>
      <c r="N22" s="27">
        <f t="shared" si="9"/>
        <v>441</v>
      </c>
      <c r="O22" s="27">
        <f t="shared" si="9"/>
        <v>669</v>
      </c>
      <c r="P22" s="27">
        <f t="shared" si="9"/>
        <v>419</v>
      </c>
      <c r="Q22" s="27">
        <f t="shared" si="9"/>
        <v>326</v>
      </c>
      <c r="R22" s="27">
        <f t="shared" si="9"/>
        <v>357</v>
      </c>
      <c r="S22" s="27">
        <f t="shared" si="9"/>
        <v>632</v>
      </c>
      <c r="T22" s="27">
        <f t="shared" si="9"/>
        <v>452</v>
      </c>
      <c r="U22" s="27">
        <f t="shared" si="9"/>
        <v>374</v>
      </c>
      <c r="V22" s="27">
        <f t="shared" si="9"/>
        <v>390</v>
      </c>
      <c r="W22" s="27">
        <f t="shared" si="9"/>
        <v>791</v>
      </c>
    </row>
    <row r="23" spans="1:29" s="17" customFormat="1">
      <c r="B23" s="21"/>
      <c r="C23" s="21"/>
      <c r="D23" s="21"/>
      <c r="E23" s="21"/>
      <c r="F23" s="21"/>
      <c r="G23" s="21"/>
      <c r="H23" s="21"/>
      <c r="I23" s="21"/>
      <c r="J23" s="21"/>
      <c r="K23" s="21"/>
      <c r="L23" s="21"/>
      <c r="M23" s="21"/>
      <c r="N23" s="21"/>
      <c r="O23" s="21"/>
      <c r="P23" s="21"/>
      <c r="Q23" s="27"/>
      <c r="R23" s="27"/>
      <c r="S23" s="27"/>
      <c r="T23" s="27"/>
      <c r="U23" s="27"/>
      <c r="V23" s="27"/>
      <c r="W23" s="27"/>
      <c r="Z23" s="14"/>
      <c r="AA23" s="14"/>
    </row>
    <row r="24" spans="1:29" s="17" customFormat="1">
      <c r="A24" s="17" t="s">
        <v>59</v>
      </c>
      <c r="B24" s="27">
        <f t="shared" ref="B24:T24" si="10">SUM(B22:E22)</f>
        <v>2314</v>
      </c>
      <c r="C24" s="27">
        <f t="shared" si="10"/>
        <v>2241</v>
      </c>
      <c r="D24" s="27">
        <f t="shared" si="10"/>
        <v>2067</v>
      </c>
      <c r="E24" s="27">
        <f t="shared" si="10"/>
        <v>2483</v>
      </c>
      <c r="F24" s="27">
        <f t="shared" si="10"/>
        <v>3040</v>
      </c>
      <c r="G24" s="27">
        <f t="shared" si="10"/>
        <v>3574</v>
      </c>
      <c r="H24" s="27">
        <f t="shared" si="10"/>
        <v>3438</v>
      </c>
      <c r="I24" s="27">
        <f t="shared" si="10"/>
        <v>2983</v>
      </c>
      <c r="J24" s="27">
        <f t="shared" si="10"/>
        <v>2404</v>
      </c>
      <c r="K24" s="27">
        <f t="shared" si="10"/>
        <v>1943</v>
      </c>
      <c r="L24" s="27">
        <f t="shared" si="10"/>
        <v>1880</v>
      </c>
      <c r="M24" s="27">
        <f t="shared" si="10"/>
        <v>1852</v>
      </c>
      <c r="N24" s="27">
        <f t="shared" si="10"/>
        <v>1855</v>
      </c>
      <c r="O24" s="27">
        <f t="shared" si="10"/>
        <v>1771</v>
      </c>
      <c r="P24" s="27">
        <f t="shared" si="10"/>
        <v>1734</v>
      </c>
      <c r="Q24" s="27">
        <f t="shared" si="10"/>
        <v>1767</v>
      </c>
      <c r="R24" s="27">
        <f t="shared" si="10"/>
        <v>1815</v>
      </c>
      <c r="S24" s="27">
        <f t="shared" si="10"/>
        <v>1848</v>
      </c>
      <c r="T24" s="27">
        <f t="shared" si="10"/>
        <v>2007</v>
      </c>
      <c r="U24" s="27"/>
      <c r="V24" s="27"/>
      <c r="W24" s="27"/>
    </row>
    <row r="25" spans="1:29" s="24" customFormat="1">
      <c r="A25" s="19" t="s">
        <v>60</v>
      </c>
      <c r="B25" s="28">
        <v>0</v>
      </c>
      <c r="C25" s="28">
        <v>0</v>
      </c>
      <c r="D25" s="28">
        <v>0</v>
      </c>
      <c r="E25" s="28">
        <v>0</v>
      </c>
      <c r="F25" s="28">
        <v>0</v>
      </c>
      <c r="G25" s="28">
        <v>0</v>
      </c>
      <c r="H25" s="28">
        <v>0</v>
      </c>
      <c r="I25" s="28">
        <v>0</v>
      </c>
      <c r="J25" s="28">
        <v>0</v>
      </c>
      <c r="K25" s="28">
        <v>0</v>
      </c>
      <c r="L25" s="28">
        <v>0</v>
      </c>
      <c r="M25" s="28">
        <v>0</v>
      </c>
      <c r="N25" s="28">
        <v>0</v>
      </c>
      <c r="O25" s="28">
        <v>0</v>
      </c>
      <c r="P25" s="28">
        <v>0</v>
      </c>
      <c r="Q25" s="28">
        <v>0</v>
      </c>
      <c r="R25" s="28">
        <v>0</v>
      </c>
      <c r="S25" s="28">
        <v>0</v>
      </c>
      <c r="T25" s="28">
        <v>0</v>
      </c>
      <c r="U25" s="28">
        <v>0</v>
      </c>
      <c r="V25" s="28">
        <v>0</v>
      </c>
      <c r="W25" s="28">
        <v>0</v>
      </c>
      <c r="Z25" s="14"/>
      <c r="AA25" s="14"/>
    </row>
    <row r="26" spans="1:29" s="24" customFormat="1">
      <c r="A26" s="19" t="s">
        <v>61</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v>0</v>
      </c>
      <c r="S26" s="29">
        <v>0</v>
      </c>
      <c r="T26" s="29">
        <v>0</v>
      </c>
      <c r="U26" s="30"/>
      <c r="V26" s="30"/>
      <c r="W26" s="30"/>
      <c r="Z26" s="17"/>
      <c r="AA26" s="17"/>
    </row>
    <row r="27" spans="1:29" s="32" customFormat="1">
      <c r="A27" s="17" t="s">
        <v>62</v>
      </c>
      <c r="B27" s="27">
        <f t="shared" ref="B27" si="11">SUM(B24:B26)</f>
        <v>2314</v>
      </c>
      <c r="C27" s="27">
        <f t="shared" ref="C27:D27" si="12">SUM(C24:C26)</f>
        <v>2241</v>
      </c>
      <c r="D27" s="27">
        <f t="shared" si="12"/>
        <v>2067</v>
      </c>
      <c r="E27" s="27">
        <f t="shared" ref="E27:F27" si="13">SUM(E24:E26)</f>
        <v>2483</v>
      </c>
      <c r="F27" s="27">
        <f t="shared" si="13"/>
        <v>3040</v>
      </c>
      <c r="G27" s="27">
        <f t="shared" ref="G27:H27" si="14">SUM(G24:G26)</f>
        <v>3574</v>
      </c>
      <c r="H27" s="27">
        <f t="shared" si="14"/>
        <v>3438</v>
      </c>
      <c r="I27" s="27">
        <f t="shared" ref="I27:J27" si="15">SUM(I24:I26)</f>
        <v>2983</v>
      </c>
      <c r="J27" s="27">
        <f t="shared" si="15"/>
        <v>2404</v>
      </c>
      <c r="K27" s="27">
        <f t="shared" ref="K27:T27" si="16">SUM(K24:K26)</f>
        <v>1943</v>
      </c>
      <c r="L27" s="27">
        <f t="shared" si="16"/>
        <v>1880</v>
      </c>
      <c r="M27" s="27">
        <f t="shared" si="16"/>
        <v>1852</v>
      </c>
      <c r="N27" s="27">
        <f t="shared" si="16"/>
        <v>1855</v>
      </c>
      <c r="O27" s="27">
        <f t="shared" si="16"/>
        <v>1771</v>
      </c>
      <c r="P27" s="27">
        <f t="shared" si="16"/>
        <v>1734</v>
      </c>
      <c r="Q27" s="27">
        <f t="shared" si="16"/>
        <v>1767</v>
      </c>
      <c r="R27" s="27">
        <f t="shared" si="16"/>
        <v>1815</v>
      </c>
      <c r="S27" s="27">
        <f t="shared" si="16"/>
        <v>1848</v>
      </c>
      <c r="T27" s="27">
        <f t="shared" si="16"/>
        <v>2007</v>
      </c>
      <c r="U27" s="31"/>
      <c r="V27" s="31"/>
      <c r="W27" s="31"/>
      <c r="Z27" s="14"/>
      <c r="AA27" s="14"/>
    </row>
    <row r="28" spans="1:29" s="24" customFormat="1">
      <c r="Z28" s="17"/>
      <c r="AA28" s="17"/>
    </row>
    <row r="29" spans="1:29" s="17" customFormat="1">
      <c r="A29" s="17" t="s">
        <v>58</v>
      </c>
      <c r="B29" s="27">
        <f t="shared" ref="B29" si="17">B22</f>
        <v>441</v>
      </c>
      <c r="C29" s="27">
        <f t="shared" ref="C29:E29" si="18">C22</f>
        <v>1042</v>
      </c>
      <c r="D29" s="27">
        <f t="shared" si="18"/>
        <v>486</v>
      </c>
      <c r="E29" s="27">
        <f t="shared" si="18"/>
        <v>345</v>
      </c>
      <c r="F29" s="27">
        <f t="shared" ref="F29:H29" si="19">F22</f>
        <v>368</v>
      </c>
      <c r="G29" s="27">
        <f t="shared" si="19"/>
        <v>868</v>
      </c>
      <c r="H29" s="27">
        <f t="shared" si="19"/>
        <v>902</v>
      </c>
      <c r="I29" s="27">
        <f t="shared" ref="I29:J29" si="20">I22</f>
        <v>902</v>
      </c>
      <c r="J29" s="27">
        <f t="shared" si="20"/>
        <v>902</v>
      </c>
      <c r="K29" s="27">
        <f t="shared" ref="K29:W29" si="21">K22</f>
        <v>732</v>
      </c>
      <c r="L29" s="27">
        <f t="shared" si="21"/>
        <v>447</v>
      </c>
      <c r="M29" s="27">
        <f t="shared" si="21"/>
        <v>323</v>
      </c>
      <c r="N29" s="27">
        <f t="shared" si="21"/>
        <v>441</v>
      </c>
      <c r="O29" s="27">
        <f t="shared" si="21"/>
        <v>669</v>
      </c>
      <c r="P29" s="27">
        <f t="shared" si="21"/>
        <v>419</v>
      </c>
      <c r="Q29" s="27">
        <f t="shared" si="21"/>
        <v>326</v>
      </c>
      <c r="R29" s="27">
        <f t="shared" si="21"/>
        <v>357</v>
      </c>
      <c r="S29" s="27">
        <f t="shared" si="21"/>
        <v>632</v>
      </c>
      <c r="T29" s="27">
        <f t="shared" si="21"/>
        <v>452</v>
      </c>
      <c r="U29" s="27">
        <f t="shared" si="21"/>
        <v>374</v>
      </c>
      <c r="V29" s="27">
        <f t="shared" si="21"/>
        <v>390</v>
      </c>
      <c r="W29" s="27">
        <f t="shared" si="21"/>
        <v>791</v>
      </c>
      <c r="Z29" s="14"/>
      <c r="AA29" s="14"/>
    </row>
    <row r="30" spans="1:29" s="33" customFormat="1">
      <c r="A30" s="20" t="s">
        <v>63</v>
      </c>
      <c r="B30" s="20"/>
      <c r="C30" s="20">
        <f>-391-D30-E30</f>
        <v>-170</v>
      </c>
      <c r="D30" s="20">
        <f>-221-E30</f>
        <v>-132</v>
      </c>
      <c r="E30" s="20">
        <v>-89</v>
      </c>
      <c r="F30" s="20">
        <f>-598-G30-H30-I30</f>
        <v>-196</v>
      </c>
      <c r="G30" s="20">
        <f>-402-H30-I30</f>
        <v>-119</v>
      </c>
      <c r="H30" s="20">
        <f>-283-I30</f>
        <v>-168</v>
      </c>
      <c r="I30" s="20">
        <v>-115</v>
      </c>
      <c r="J30" s="20">
        <f>-587-K30-M30-L30</f>
        <v>-186</v>
      </c>
      <c r="K30" s="20">
        <f>-401-L30-M30</f>
        <v>-117</v>
      </c>
      <c r="L30" s="20">
        <f>-284-M30</f>
        <v>-174</v>
      </c>
      <c r="M30" s="20">
        <v>-110</v>
      </c>
      <c r="N30" s="20">
        <f>-575-Q30-P30-O30</f>
        <v>-163</v>
      </c>
      <c r="O30" s="20">
        <f>-412-P30-Q30</f>
        <v>-103</v>
      </c>
      <c r="P30" s="20">
        <v>-153</v>
      </c>
      <c r="Q30" s="20">
        <v>-156</v>
      </c>
      <c r="R30" s="20">
        <v>-160</v>
      </c>
      <c r="S30" s="20">
        <v>-160</v>
      </c>
      <c r="T30" s="20">
        <v>-159</v>
      </c>
      <c r="U30" s="20">
        <v>-158</v>
      </c>
      <c r="V30" s="20">
        <v>-158</v>
      </c>
      <c r="W30" s="20">
        <v>-156</v>
      </c>
      <c r="Z30" s="17"/>
      <c r="AA30" s="17"/>
    </row>
    <row r="31" spans="1:29" s="33" customFormat="1">
      <c r="A31" s="20" t="s">
        <v>64</v>
      </c>
      <c r="B31" s="20"/>
      <c r="C31" s="20">
        <f>-8-D31-E31</f>
        <v>-6</v>
      </c>
      <c r="D31" s="20">
        <f>-2-E31</f>
        <v>-1</v>
      </c>
      <c r="E31" s="20">
        <v>-1</v>
      </c>
      <c r="F31" s="20">
        <f>-11-G31-H31-I31</f>
        <v>-3</v>
      </c>
      <c r="G31" s="20">
        <f>-8-H31-I31</f>
        <v>0</v>
      </c>
      <c r="H31" s="20">
        <f>-8-I31</f>
        <v>-8</v>
      </c>
      <c r="I31" s="20">
        <v>0</v>
      </c>
      <c r="J31" s="20">
        <f>-23-K31-L31-M31</f>
        <v>-13</v>
      </c>
      <c r="K31" s="20">
        <f>-10-L31-M31</f>
        <v>0</v>
      </c>
      <c r="L31" s="20">
        <f>-10-M31</f>
        <v>-6</v>
      </c>
      <c r="M31" s="20">
        <v>-4</v>
      </c>
      <c r="N31" s="20">
        <f>-12-Q31-P31-O31</f>
        <v>-2</v>
      </c>
      <c r="O31" s="20">
        <f>-10-P31-Q31</f>
        <v>-2</v>
      </c>
      <c r="P31" s="20">
        <v>-5</v>
      </c>
      <c r="Q31" s="20">
        <v>-3</v>
      </c>
      <c r="R31" s="20">
        <v>-2</v>
      </c>
      <c r="S31" s="20">
        <v>1</v>
      </c>
      <c r="T31" s="20">
        <v>-6</v>
      </c>
      <c r="U31" s="20">
        <v>-2</v>
      </c>
      <c r="V31" s="20">
        <v>3</v>
      </c>
      <c r="W31" s="20">
        <v>-1</v>
      </c>
    </row>
    <row r="32" spans="1:29" s="33" customFormat="1">
      <c r="A32" s="20" t="s">
        <v>65</v>
      </c>
      <c r="B32" s="20"/>
      <c r="C32" s="20">
        <f>-41-25-63+13+292-D32-E32</f>
        <v>219</v>
      </c>
      <c r="D32" s="20">
        <f>75-122+21-146+129-E32</f>
        <v>-71</v>
      </c>
      <c r="E32" s="20">
        <f>158-139+30-97+76</f>
        <v>28</v>
      </c>
      <c r="F32" s="20">
        <f>265-271-57+144-14-G32-H32-I32</f>
        <v>-38</v>
      </c>
      <c r="G32" s="20">
        <f>138-217+14+169+1-H32-I32</f>
        <v>271</v>
      </c>
      <c r="H32" s="20">
        <f>215-269+40-61-91-I32</f>
        <v>-46</v>
      </c>
      <c r="I32" s="20">
        <f>228-229-65+27-81</f>
        <v>-120</v>
      </c>
      <c r="J32" s="20">
        <f>-101+164-134-82+51-K32-L32-M32</f>
        <v>-88</v>
      </c>
      <c r="K32" s="20">
        <f>35-35-43-32+61-L32-M32</f>
        <v>411</v>
      </c>
      <c r="L32" s="20">
        <f>-8-11-90-242-74-M32</f>
        <v>-183</v>
      </c>
      <c r="M32" s="20">
        <f>164-77-72-107-150</f>
        <v>-242</v>
      </c>
      <c r="N32" s="20">
        <f>-108+70+115-15+9-O32-P32-Q32</f>
        <v>-52</v>
      </c>
      <c r="O32" s="20">
        <f>-86-10+60+95+64-P32-Q32</f>
        <v>159</v>
      </c>
      <c r="P32" s="20">
        <v>-37</v>
      </c>
      <c r="Q32" s="20">
        <v>1</v>
      </c>
      <c r="R32" s="20">
        <v>53</v>
      </c>
      <c r="S32" s="20">
        <v>2</v>
      </c>
      <c r="T32" s="20">
        <v>-168</v>
      </c>
      <c r="U32" s="20">
        <v>-133</v>
      </c>
      <c r="V32" s="20">
        <v>98</v>
      </c>
      <c r="W32" s="20">
        <v>-19</v>
      </c>
    </row>
    <row r="33" spans="1:27" s="33" customFormat="1">
      <c r="A33" s="20" t="s">
        <v>66</v>
      </c>
      <c r="B33" s="20"/>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c r="W33" s="20">
        <v>0</v>
      </c>
    </row>
    <row r="34" spans="1:27" s="33" customFormat="1">
      <c r="A34" s="20" t="s">
        <v>57</v>
      </c>
      <c r="B34" s="29"/>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row>
    <row r="35" spans="1:27" s="27" customFormat="1">
      <c r="A35" s="27" t="s">
        <v>67</v>
      </c>
      <c r="B35" s="27">
        <v>296</v>
      </c>
      <c r="C35" s="27">
        <f>1436-D35-E35</f>
        <v>1002</v>
      </c>
      <c r="D35" s="27">
        <f>434-E35</f>
        <v>221</v>
      </c>
      <c r="E35" s="27">
        <v>213</v>
      </c>
      <c r="F35" s="27">
        <f>1556-G35-H35-I35</f>
        <v>125</v>
      </c>
      <c r="G35" s="27">
        <f>1431-H35-I35</f>
        <v>912</v>
      </c>
      <c r="H35" s="27">
        <f>519-I35</f>
        <v>278</v>
      </c>
      <c r="I35" s="27">
        <v>241</v>
      </c>
      <c r="J35" s="27">
        <f>1101-K35-L35-M35</f>
        <v>228</v>
      </c>
      <c r="K35" s="27">
        <f>873-L35-M35</f>
        <v>817</v>
      </c>
      <c r="L35" s="27">
        <f>56-M35</f>
        <v>171</v>
      </c>
      <c r="M35" s="27">
        <v>-115</v>
      </c>
      <c r="N35" s="27">
        <f>949-O35-P35-Q35</f>
        <v>124</v>
      </c>
      <c r="O35" s="27">
        <f>825-P35-Q35</f>
        <v>561</v>
      </c>
      <c r="P35" s="27">
        <f>264-Q35</f>
        <v>170</v>
      </c>
      <c r="Q35" s="27">
        <v>94</v>
      </c>
      <c r="R35" s="27">
        <f>1030-U35-T35-S35</f>
        <v>363</v>
      </c>
      <c r="S35" s="27">
        <f>667-U35-T35</f>
        <v>547</v>
      </c>
      <c r="T35" s="27">
        <f>120-U35</f>
        <v>94</v>
      </c>
      <c r="U35" s="27">
        <v>26</v>
      </c>
      <c r="V35" s="27">
        <v>315</v>
      </c>
      <c r="W35" s="27">
        <v>529</v>
      </c>
    </row>
    <row r="36" spans="1:27" s="33" customFormat="1">
      <c r="A36" s="20" t="s">
        <v>68</v>
      </c>
      <c r="B36" s="29">
        <v>-230</v>
      </c>
      <c r="C36" s="29">
        <f>-440-D36-E36</f>
        <v>-120</v>
      </c>
      <c r="D36" s="29">
        <f>-320-E36</f>
        <v>-185</v>
      </c>
      <c r="E36" s="29">
        <v>-135</v>
      </c>
      <c r="F36" s="29">
        <f>-584-G36-H36-I36</f>
        <v>-149</v>
      </c>
      <c r="G36" s="29">
        <f>-435-H36-I36</f>
        <v>-131</v>
      </c>
      <c r="H36" s="29">
        <f>-304-I36</f>
        <v>-161</v>
      </c>
      <c r="I36" s="29">
        <v>-143</v>
      </c>
      <c r="J36" s="29">
        <f>-415-K36-L36-M36</f>
        <v>-101</v>
      </c>
      <c r="K36" s="29">
        <f>-314-L36-M36</f>
        <v>-83</v>
      </c>
      <c r="L36" s="29">
        <f>-231-M36</f>
        <v>-117</v>
      </c>
      <c r="M36" s="29">
        <v>-114</v>
      </c>
      <c r="N36" s="29">
        <f>-305-Q36-P36-O36</f>
        <v>-57</v>
      </c>
      <c r="O36" s="29">
        <f>-248-P36-Q36</f>
        <v>-61</v>
      </c>
      <c r="P36" s="29">
        <f>-187-Q36</f>
        <v>-72</v>
      </c>
      <c r="Q36" s="29">
        <v>-115</v>
      </c>
      <c r="R36" s="29">
        <v>-94</v>
      </c>
      <c r="S36" s="29">
        <v>-84</v>
      </c>
      <c r="T36" s="29">
        <v>-122</v>
      </c>
      <c r="U36" s="29">
        <v>-105</v>
      </c>
      <c r="V36" s="29">
        <v>-131</v>
      </c>
      <c r="W36" s="29">
        <v>-51</v>
      </c>
    </row>
    <row r="37" spans="1:27" s="27" customFormat="1">
      <c r="A37" s="27" t="s">
        <v>69</v>
      </c>
      <c r="B37" s="27">
        <f t="shared" ref="B37:W37" si="22">+B35+B36</f>
        <v>66</v>
      </c>
      <c r="C37" s="27">
        <f t="shared" si="22"/>
        <v>882</v>
      </c>
      <c r="D37" s="27">
        <f t="shared" si="22"/>
        <v>36</v>
      </c>
      <c r="E37" s="27">
        <f t="shared" si="22"/>
        <v>78</v>
      </c>
      <c r="F37" s="27">
        <f t="shared" si="22"/>
        <v>-24</v>
      </c>
      <c r="G37" s="27">
        <f t="shared" si="22"/>
        <v>781</v>
      </c>
      <c r="H37" s="27">
        <f t="shared" si="22"/>
        <v>117</v>
      </c>
      <c r="I37" s="27">
        <f t="shared" si="22"/>
        <v>98</v>
      </c>
      <c r="J37" s="27">
        <f t="shared" si="22"/>
        <v>127</v>
      </c>
      <c r="K37" s="27">
        <f t="shared" si="22"/>
        <v>734</v>
      </c>
      <c r="L37" s="27">
        <f t="shared" si="22"/>
        <v>54</v>
      </c>
      <c r="M37" s="27">
        <f t="shared" si="22"/>
        <v>-229</v>
      </c>
      <c r="N37" s="27">
        <f t="shared" si="22"/>
        <v>67</v>
      </c>
      <c r="O37" s="27">
        <f t="shared" si="22"/>
        <v>500</v>
      </c>
      <c r="P37" s="27">
        <f t="shared" si="22"/>
        <v>98</v>
      </c>
      <c r="Q37" s="27">
        <f t="shared" si="22"/>
        <v>-21</v>
      </c>
      <c r="R37" s="27">
        <f t="shared" si="22"/>
        <v>269</v>
      </c>
      <c r="S37" s="27">
        <f t="shared" si="22"/>
        <v>463</v>
      </c>
      <c r="T37" s="27">
        <f t="shared" si="22"/>
        <v>-28</v>
      </c>
      <c r="U37" s="27">
        <f t="shared" si="22"/>
        <v>-79</v>
      </c>
      <c r="V37" s="27">
        <f t="shared" si="22"/>
        <v>184</v>
      </c>
      <c r="W37" s="27">
        <f t="shared" si="22"/>
        <v>478</v>
      </c>
    </row>
    <row r="39" spans="1:27" s="35" customFormat="1">
      <c r="A39" s="34" t="s">
        <v>70</v>
      </c>
      <c r="B39" s="20">
        <v>0</v>
      </c>
      <c r="C39" s="20">
        <v>122</v>
      </c>
      <c r="D39" s="20">
        <v>122</v>
      </c>
      <c r="E39" s="20">
        <v>572</v>
      </c>
      <c r="F39" s="20">
        <v>122</v>
      </c>
      <c r="G39" s="20">
        <v>60</v>
      </c>
      <c r="H39" s="20">
        <v>75</v>
      </c>
      <c r="I39" s="20">
        <v>150</v>
      </c>
      <c r="J39" s="20">
        <v>30</v>
      </c>
      <c r="K39" s="20">
        <v>0</v>
      </c>
      <c r="L39" s="20">
        <v>275</v>
      </c>
      <c r="M39" s="20">
        <v>0</v>
      </c>
      <c r="N39" s="20">
        <v>0</v>
      </c>
      <c r="O39" s="20">
        <v>0</v>
      </c>
      <c r="P39" s="20">
        <v>0</v>
      </c>
      <c r="Q39" s="20">
        <v>0</v>
      </c>
      <c r="R39" s="20">
        <v>0</v>
      </c>
      <c r="S39" s="20">
        <v>0</v>
      </c>
      <c r="T39" s="20">
        <v>0</v>
      </c>
      <c r="U39" s="20"/>
      <c r="V39" s="20"/>
      <c r="W39" s="20"/>
      <c r="Y39" s="33"/>
      <c r="AA39" s="33"/>
    </row>
    <row r="40" spans="1:27" s="35" customFormat="1">
      <c r="A40" s="34" t="s">
        <v>71</v>
      </c>
      <c r="B40" s="20">
        <v>7935</v>
      </c>
      <c r="C40" s="20">
        <f>3149+2409+961+849+471+68</f>
        <v>7907</v>
      </c>
      <c r="D40" s="20">
        <f>3155+2408+962+867+481+68</f>
        <v>7941</v>
      </c>
      <c r="E40" s="20">
        <f>3161+2407+840+964+68</f>
        <v>7440</v>
      </c>
      <c r="F40" s="20">
        <f>3167+2835+879+967+73</f>
        <v>7921</v>
      </c>
      <c r="G40" s="20">
        <f>3175+2404+965+969+78</f>
        <v>7591</v>
      </c>
      <c r="H40" s="20">
        <f>971+1307+1522+921+550+744+487+1172</f>
        <v>7674</v>
      </c>
      <c r="I40" s="20">
        <f>2972+2401+1228+972+79</f>
        <v>7652</v>
      </c>
      <c r="J40" s="20">
        <f>2976+2400+1264+974+105</f>
        <v>7719</v>
      </c>
      <c r="K40" s="20">
        <f>2981+2399+1419+976+111</f>
        <v>7886</v>
      </c>
      <c r="L40" s="20">
        <f>2986+2397+1440+978+111</f>
        <v>7912</v>
      </c>
      <c r="M40" s="20">
        <f>2990+2396+1461+980+111+325</f>
        <v>8263</v>
      </c>
      <c r="N40" s="20">
        <f>2995+2396+1498+984+115</f>
        <v>7988</v>
      </c>
      <c r="O40" s="20">
        <v>8248.880000000001</v>
      </c>
      <c r="P40" s="20">
        <v>8524.66</v>
      </c>
      <c r="Q40" s="20">
        <v>8557.44</v>
      </c>
      <c r="R40" s="20">
        <v>8862.2200000000012</v>
      </c>
      <c r="S40" s="20">
        <v>8865</v>
      </c>
      <c r="T40" s="20">
        <v>8524</v>
      </c>
      <c r="U40" s="20"/>
      <c r="V40" s="20"/>
      <c r="W40" s="20"/>
      <c r="Y40" s="33"/>
      <c r="AA40" s="33"/>
    </row>
    <row r="41" spans="1:27" s="35" customFormat="1">
      <c r="A41" s="34" t="s">
        <v>72</v>
      </c>
      <c r="B41" s="20">
        <f>+B39+B40+1388+643+840</f>
        <v>10806</v>
      </c>
      <c r="C41" s="20">
        <f>C39+C40+2871</f>
        <v>10900</v>
      </c>
      <c r="D41" s="20">
        <f>D39+D40+3042</f>
        <v>11105</v>
      </c>
      <c r="E41" s="20">
        <f>E39+E40+3041</f>
        <v>11053</v>
      </c>
      <c r="F41" s="20">
        <f>F39+F40+3663</f>
        <v>11706</v>
      </c>
      <c r="G41" s="20">
        <f>G39+G40+2991</f>
        <v>10642</v>
      </c>
      <c r="H41" s="20">
        <f>H39+H40+1228+589+1173</f>
        <v>10739</v>
      </c>
      <c r="I41" s="20">
        <f>I39+I40+2989</f>
        <v>10791</v>
      </c>
      <c r="J41" s="20">
        <f>J39+J40+3036</f>
        <v>10785</v>
      </c>
      <c r="K41" s="20">
        <f>K39+K40+3421</f>
        <v>11307</v>
      </c>
      <c r="L41" s="20">
        <f>L39+L40+3420</f>
        <v>11607</v>
      </c>
      <c r="M41" s="20">
        <f>M39+M40+3419</f>
        <v>11682</v>
      </c>
      <c r="N41" s="20">
        <f>N39+N40+3417</f>
        <v>11405</v>
      </c>
      <c r="O41" s="20">
        <v>11698.880000000001</v>
      </c>
      <c r="P41" s="20">
        <v>11974.66</v>
      </c>
      <c r="Q41" s="20">
        <v>12007.44</v>
      </c>
      <c r="R41" s="20">
        <v>12312.220000000001</v>
      </c>
      <c r="S41" s="20">
        <v>12315</v>
      </c>
      <c r="T41" s="20">
        <v>11974</v>
      </c>
      <c r="U41" s="20"/>
      <c r="V41" s="20"/>
      <c r="W41" s="20"/>
      <c r="Y41" s="33"/>
      <c r="AA41" s="33"/>
    </row>
    <row r="42" spans="1:27" s="35" customFormat="1">
      <c r="A42" s="34" t="s">
        <v>73</v>
      </c>
      <c r="B42" s="36">
        <v>0</v>
      </c>
      <c r="C42" s="36">
        <v>0</v>
      </c>
      <c r="D42" s="36">
        <v>0</v>
      </c>
      <c r="E42" s="36">
        <v>0</v>
      </c>
      <c r="F42" s="36">
        <v>0</v>
      </c>
      <c r="G42" s="36">
        <v>0</v>
      </c>
      <c r="H42" s="36">
        <v>0</v>
      </c>
      <c r="I42" s="36">
        <v>0</v>
      </c>
      <c r="J42" s="36">
        <v>0</v>
      </c>
      <c r="K42" s="36">
        <v>0</v>
      </c>
      <c r="L42" s="36">
        <v>0</v>
      </c>
      <c r="M42" s="36">
        <v>0</v>
      </c>
      <c r="N42" s="36">
        <v>0</v>
      </c>
      <c r="O42" s="36">
        <v>0</v>
      </c>
      <c r="P42" s="36">
        <v>0</v>
      </c>
      <c r="Q42" s="36">
        <v>0</v>
      </c>
      <c r="R42" s="36">
        <v>0</v>
      </c>
      <c r="S42" s="36">
        <v>0</v>
      </c>
      <c r="T42" s="36">
        <v>0</v>
      </c>
      <c r="U42" s="36"/>
      <c r="V42" s="36"/>
      <c r="W42" s="36"/>
    </row>
    <row r="43" spans="1:27">
      <c r="B43" s="35"/>
      <c r="C43" s="35"/>
      <c r="D43" s="35"/>
      <c r="E43" s="35"/>
      <c r="F43" s="35"/>
      <c r="G43" s="35"/>
      <c r="H43" s="35"/>
      <c r="I43" s="35"/>
      <c r="J43" s="35"/>
      <c r="K43" s="35"/>
      <c r="L43" s="35"/>
      <c r="M43" s="35"/>
      <c r="N43" s="35"/>
      <c r="O43" s="35"/>
      <c r="P43" s="35"/>
      <c r="Q43" s="35"/>
      <c r="R43" s="35"/>
      <c r="Y43" s="33"/>
    </row>
    <row r="44" spans="1:27">
      <c r="A44" s="19" t="s">
        <v>74</v>
      </c>
      <c r="B44" s="28">
        <v>378</v>
      </c>
      <c r="C44" s="28">
        <v>809</v>
      </c>
      <c r="D44" s="28">
        <v>677</v>
      </c>
      <c r="E44" s="28">
        <v>531</v>
      </c>
      <c r="F44" s="28">
        <v>1131</v>
      </c>
      <c r="G44" s="28">
        <v>792</v>
      </c>
      <c r="H44" s="28">
        <f>297-3</f>
        <v>294</v>
      </c>
      <c r="I44" s="28">
        <v>184</v>
      </c>
      <c r="J44" s="28">
        <v>205</v>
      </c>
      <c r="K44" s="28">
        <v>534</v>
      </c>
      <c r="L44" s="28">
        <v>334</v>
      </c>
      <c r="M44" s="28">
        <v>371</v>
      </c>
      <c r="N44" s="28">
        <v>284</v>
      </c>
      <c r="O44" s="28">
        <v>426</v>
      </c>
      <c r="P44" s="28">
        <f>294+133</f>
        <v>427</v>
      </c>
      <c r="Q44" s="28">
        <f>243+177</f>
        <v>420</v>
      </c>
      <c r="R44" s="28">
        <f>418+188</f>
        <v>606</v>
      </c>
      <c r="S44" s="28">
        <f>561+225</f>
        <v>786</v>
      </c>
      <c r="T44" s="28">
        <f>215+184</f>
        <v>399</v>
      </c>
      <c r="U44" s="28"/>
      <c r="V44" s="28"/>
      <c r="W44" s="28"/>
      <c r="Y44" s="33"/>
    </row>
    <row r="45" spans="1:27">
      <c r="B45" s="130"/>
      <c r="C45" s="130"/>
      <c r="D45" s="130"/>
      <c r="E45" s="130"/>
      <c r="F45" s="130"/>
      <c r="G45" s="130"/>
      <c r="H45" s="130"/>
      <c r="I45" s="130"/>
      <c r="J45" s="130"/>
      <c r="K45" s="130"/>
      <c r="L45" s="130"/>
      <c r="M45" s="130"/>
      <c r="N45" s="130"/>
      <c r="Y45" s="33"/>
    </row>
    <row r="46" spans="1:27">
      <c r="A46" s="14" t="s">
        <v>75</v>
      </c>
      <c r="B46" s="33">
        <f t="shared" ref="B46:T46" si="23">SUM(B12:E12)</f>
        <v>8849</v>
      </c>
      <c r="C46" s="33">
        <f t="shared" si="23"/>
        <v>8771</v>
      </c>
      <c r="D46" s="33">
        <f t="shared" si="23"/>
        <v>8910</v>
      </c>
      <c r="E46" s="33">
        <f t="shared" si="23"/>
        <v>9765</v>
      </c>
      <c r="F46" s="33">
        <f t="shared" si="23"/>
        <v>10072</v>
      </c>
      <c r="G46" s="33">
        <f t="shared" si="23"/>
        <v>10344</v>
      </c>
      <c r="H46" s="33">
        <f t="shared" si="23"/>
        <v>10442</v>
      </c>
      <c r="I46" s="33">
        <f t="shared" si="23"/>
        <v>10102</v>
      </c>
      <c r="J46" s="33">
        <f t="shared" si="23"/>
        <v>9512</v>
      </c>
      <c r="K46" s="33">
        <f t="shared" si="23"/>
        <v>8959</v>
      </c>
      <c r="L46" s="33">
        <f t="shared" si="23"/>
        <v>8655</v>
      </c>
      <c r="M46" s="33">
        <f t="shared" si="23"/>
        <v>8480</v>
      </c>
      <c r="N46" s="33">
        <f t="shared" si="23"/>
        <v>8752</v>
      </c>
      <c r="O46" s="33">
        <f t="shared" si="23"/>
        <v>8533</v>
      </c>
      <c r="P46" s="33">
        <f t="shared" si="23"/>
        <v>8302</v>
      </c>
      <c r="Q46" s="33">
        <f t="shared" si="23"/>
        <v>7382</v>
      </c>
      <c r="R46" s="33">
        <f t="shared" si="23"/>
        <v>6716</v>
      </c>
      <c r="S46" s="33">
        <f t="shared" si="23"/>
        <v>6570</v>
      </c>
      <c r="T46" s="33">
        <f t="shared" si="23"/>
        <v>6163</v>
      </c>
    </row>
    <row r="47" spans="1:27">
      <c r="A47" s="14" t="s">
        <v>76</v>
      </c>
      <c r="B47" s="33">
        <f t="shared" ref="B47:C47" si="24">+B27</f>
        <v>2314</v>
      </c>
      <c r="C47" s="33">
        <f t="shared" si="24"/>
        <v>2241</v>
      </c>
      <c r="D47" s="33">
        <f t="shared" ref="D47:E47" si="25">+D27</f>
        <v>2067</v>
      </c>
      <c r="E47" s="33">
        <f t="shared" si="25"/>
        <v>2483</v>
      </c>
      <c r="F47" s="33">
        <f t="shared" ref="F47:G47" si="26">+F27</f>
        <v>3040</v>
      </c>
      <c r="G47" s="33">
        <f t="shared" si="26"/>
        <v>3574</v>
      </c>
      <c r="H47" s="33">
        <f t="shared" ref="H47" si="27">+H27</f>
        <v>3438</v>
      </c>
      <c r="I47" s="33">
        <f t="shared" ref="I47:N47" si="28">+I27</f>
        <v>2983</v>
      </c>
      <c r="J47" s="33">
        <f t="shared" si="28"/>
        <v>2404</v>
      </c>
      <c r="K47" s="33">
        <f t="shared" si="28"/>
        <v>1943</v>
      </c>
      <c r="L47" s="33">
        <f t="shared" si="28"/>
        <v>1880</v>
      </c>
      <c r="M47" s="33">
        <f t="shared" si="28"/>
        <v>1852</v>
      </c>
      <c r="N47" s="33">
        <f t="shared" si="28"/>
        <v>1855</v>
      </c>
      <c r="O47" s="33">
        <f t="shared" ref="O47:T47" si="29">+O27</f>
        <v>1771</v>
      </c>
      <c r="P47" s="33">
        <f t="shared" si="29"/>
        <v>1734</v>
      </c>
      <c r="Q47" s="33">
        <f t="shared" si="29"/>
        <v>1767</v>
      </c>
      <c r="R47" s="33">
        <f t="shared" si="29"/>
        <v>1815</v>
      </c>
      <c r="S47" s="33">
        <f t="shared" si="29"/>
        <v>1848</v>
      </c>
      <c r="T47" s="33">
        <f t="shared" si="29"/>
        <v>2007</v>
      </c>
    </row>
    <row r="48" spans="1:27">
      <c r="A48" s="14" t="s">
        <v>77</v>
      </c>
      <c r="B48" s="33">
        <f t="shared" ref="B48:T48" si="30">+SUM(B37:E37)</f>
        <v>1062</v>
      </c>
      <c r="C48" s="33">
        <f t="shared" si="30"/>
        <v>972</v>
      </c>
      <c r="D48" s="33">
        <f t="shared" si="30"/>
        <v>871</v>
      </c>
      <c r="E48" s="33">
        <f t="shared" si="30"/>
        <v>952</v>
      </c>
      <c r="F48" s="33">
        <f t="shared" si="30"/>
        <v>972</v>
      </c>
      <c r="G48" s="33">
        <f t="shared" si="30"/>
        <v>1123</v>
      </c>
      <c r="H48" s="33">
        <f t="shared" si="30"/>
        <v>1076</v>
      </c>
      <c r="I48" s="33">
        <f t="shared" si="30"/>
        <v>1013</v>
      </c>
      <c r="J48" s="33">
        <f t="shared" si="30"/>
        <v>686</v>
      </c>
      <c r="K48" s="33">
        <f t="shared" si="30"/>
        <v>626</v>
      </c>
      <c r="L48" s="33">
        <f t="shared" si="30"/>
        <v>392</v>
      </c>
      <c r="M48" s="33">
        <f t="shared" si="30"/>
        <v>436</v>
      </c>
      <c r="N48" s="33">
        <f t="shared" si="30"/>
        <v>644</v>
      </c>
      <c r="O48" s="33">
        <f t="shared" si="30"/>
        <v>846</v>
      </c>
      <c r="P48" s="33">
        <f t="shared" si="30"/>
        <v>809</v>
      </c>
      <c r="Q48" s="33">
        <f t="shared" si="30"/>
        <v>683</v>
      </c>
      <c r="R48" s="33">
        <f t="shared" si="30"/>
        <v>625</v>
      </c>
      <c r="S48" s="33">
        <f t="shared" si="30"/>
        <v>540</v>
      </c>
      <c r="T48" s="33">
        <f t="shared" si="30"/>
        <v>555</v>
      </c>
    </row>
    <row r="50" spans="1:23" s="37" customFormat="1">
      <c r="A50" s="37" t="s">
        <v>78</v>
      </c>
      <c r="B50" s="37">
        <f t="shared" ref="B50:C50" si="31">+SUM(B39:B40)/B47</f>
        <v>3.4291270527225581</v>
      </c>
      <c r="C50" s="37">
        <f t="shared" si="31"/>
        <v>3.5827755466309683</v>
      </c>
      <c r="D50" s="37">
        <f t="shared" ref="D50:E50" si="32">+SUM(D39:D40)/D47</f>
        <v>3.9008224479922595</v>
      </c>
      <c r="E50" s="37">
        <f t="shared" si="32"/>
        <v>3.2267418445428917</v>
      </c>
      <c r="F50" s="37">
        <f t="shared" ref="F50:G50" si="33">+SUM(F39:F40)/F47</f>
        <v>2.6457236842105263</v>
      </c>
      <c r="G50" s="37">
        <f t="shared" si="33"/>
        <v>2.1407386681589258</v>
      </c>
      <c r="H50" s="37">
        <f t="shared" ref="H50" si="34">+SUM(H39:H40)/H47</f>
        <v>2.2539267015706805</v>
      </c>
      <c r="I50" s="37">
        <f t="shared" ref="I50:J50" si="35">+SUM(I39:I40)/I47</f>
        <v>2.615487763995977</v>
      </c>
      <c r="J50" s="37">
        <f t="shared" si="35"/>
        <v>3.2233777038269551</v>
      </c>
      <c r="K50" s="37">
        <f t="shared" ref="K50:L50" si="36">+SUM(K39:K40)/K47</f>
        <v>4.0586721564590835</v>
      </c>
      <c r="L50" s="37">
        <f t="shared" si="36"/>
        <v>4.3547872340425533</v>
      </c>
      <c r="M50" s="37">
        <f t="shared" ref="M50:T50" si="37">+SUM(M39:M40)/M47</f>
        <v>4.4616630669546433</v>
      </c>
      <c r="N50" s="37">
        <f t="shared" si="37"/>
        <v>4.3061994609164422</v>
      </c>
      <c r="O50" s="37">
        <f t="shared" si="37"/>
        <v>4.6577526821005089</v>
      </c>
      <c r="P50" s="37">
        <f t="shared" si="37"/>
        <v>4.916182237600923</v>
      </c>
      <c r="Q50" s="37">
        <f t="shared" si="37"/>
        <v>4.8429202037351446</v>
      </c>
      <c r="R50" s="37">
        <f t="shared" si="37"/>
        <v>4.8827658402203866</v>
      </c>
      <c r="S50" s="37">
        <f t="shared" si="37"/>
        <v>4.7970779220779223</v>
      </c>
      <c r="T50" s="37">
        <f t="shared" si="37"/>
        <v>4.2471350274040853</v>
      </c>
    </row>
    <row r="51" spans="1:23" s="37" customFormat="1">
      <c r="A51" s="37" t="s">
        <v>79</v>
      </c>
      <c r="B51" s="37">
        <f t="shared" ref="B51:C51" si="38">+B41/B47</f>
        <v>4.6698357821953325</v>
      </c>
      <c r="C51" s="37">
        <f t="shared" si="38"/>
        <v>4.8639000446229366</v>
      </c>
      <c r="D51" s="37">
        <f t="shared" ref="D51:E51" si="39">+D41/D47</f>
        <v>5.3725205611998064</v>
      </c>
      <c r="E51" s="37">
        <f t="shared" si="39"/>
        <v>4.4514699959726141</v>
      </c>
      <c r="F51" s="37">
        <f t="shared" ref="F51:G51" si="40">+F41/F47</f>
        <v>3.8506578947368419</v>
      </c>
      <c r="G51" s="37">
        <f t="shared" si="40"/>
        <v>2.9776161163961947</v>
      </c>
      <c r="H51" s="37">
        <f t="shared" ref="H51" si="41">+H41/H47</f>
        <v>3.1236183827806863</v>
      </c>
      <c r="I51" s="37">
        <f t="shared" ref="I51:J51" si="42">+I41/I47</f>
        <v>3.6174991619175327</v>
      </c>
      <c r="J51" s="37">
        <f t="shared" si="42"/>
        <v>4.4862728785357735</v>
      </c>
      <c r="K51" s="37">
        <f t="shared" ref="K51:T51" si="43">+K41/K47</f>
        <v>5.8193515182707154</v>
      </c>
      <c r="L51" s="37">
        <f t="shared" si="43"/>
        <v>6.173936170212766</v>
      </c>
      <c r="M51" s="37">
        <f t="shared" si="43"/>
        <v>6.3077753779697625</v>
      </c>
      <c r="N51" s="37">
        <f t="shared" si="43"/>
        <v>6.1482479784366575</v>
      </c>
      <c r="O51" s="37">
        <f t="shared" si="43"/>
        <v>6.6058046301524564</v>
      </c>
      <c r="P51" s="37">
        <f t="shared" si="43"/>
        <v>6.9058016147635524</v>
      </c>
      <c r="Q51" s="37">
        <f t="shared" si="43"/>
        <v>6.7953820033955861</v>
      </c>
      <c r="R51" s="37">
        <f t="shared" si="43"/>
        <v>6.7835922865013778</v>
      </c>
      <c r="S51" s="37">
        <f t="shared" si="43"/>
        <v>6.6639610389610393</v>
      </c>
      <c r="T51" s="37">
        <f t="shared" si="43"/>
        <v>5.9661185849526657</v>
      </c>
    </row>
    <row r="52" spans="1:23" s="37" customFormat="1">
      <c r="A52" s="37" t="s">
        <v>80</v>
      </c>
      <c r="B52" s="37">
        <f t="shared" ref="B52:C52" si="44">+(B41-B44)/B47</f>
        <v>4.5064822817631809</v>
      </c>
      <c r="C52" s="37">
        <f t="shared" si="44"/>
        <v>4.5029004908522978</v>
      </c>
      <c r="D52" s="37">
        <f t="shared" ref="D52:E52" si="45">+(D41-D44)/D47</f>
        <v>5.0449927431059507</v>
      </c>
      <c r="E52" s="37">
        <f t="shared" si="45"/>
        <v>4.2376157873540077</v>
      </c>
      <c r="F52" s="37">
        <f t="shared" ref="F52:G52" si="46">+(F41-F44)/F47</f>
        <v>3.4786184210526314</v>
      </c>
      <c r="G52" s="37">
        <f t="shared" si="46"/>
        <v>2.7560156687185229</v>
      </c>
      <c r="H52" s="37">
        <f t="shared" ref="H52" si="47">+(H41-H44)/H47</f>
        <v>3.0381035485747527</v>
      </c>
      <c r="I52" s="37">
        <f t="shared" ref="I52:J52" si="48">+(I41-I44)/I47</f>
        <v>3.5558162923231644</v>
      </c>
      <c r="J52" s="37">
        <f t="shared" si="48"/>
        <v>4.4009983361064888</v>
      </c>
      <c r="K52" s="37">
        <f t="shared" ref="K52:T52" si="49">+(K41-K44)/K47</f>
        <v>5.5445187853834277</v>
      </c>
      <c r="L52" s="37">
        <f t="shared" si="49"/>
        <v>5.9962765957446811</v>
      </c>
      <c r="M52" s="37">
        <f t="shared" si="49"/>
        <v>6.1074514038876888</v>
      </c>
      <c r="N52" s="37">
        <f t="shared" si="49"/>
        <v>5.9951482479784364</v>
      </c>
      <c r="O52" s="37">
        <f t="shared" si="49"/>
        <v>6.3652625635234337</v>
      </c>
      <c r="P52" s="37">
        <f t="shared" si="49"/>
        <v>6.6595501730103805</v>
      </c>
      <c r="Q52" s="37">
        <f t="shared" si="49"/>
        <v>6.5576910016977932</v>
      </c>
      <c r="R52" s="37">
        <f t="shared" si="49"/>
        <v>6.449707988980717</v>
      </c>
      <c r="S52" s="37">
        <f t="shared" si="49"/>
        <v>6.2386363636363633</v>
      </c>
      <c r="T52" s="37">
        <f t="shared" si="49"/>
        <v>5.7673143996013954</v>
      </c>
    </row>
    <row r="53" spans="1:23" s="38" customFormat="1">
      <c r="A53" s="38" t="s">
        <v>81</v>
      </c>
      <c r="B53" s="38">
        <f t="shared" ref="B53:C53" si="50">+B48/B41</f>
        <v>9.8278734036646304E-2</v>
      </c>
      <c r="C53" s="38">
        <f t="shared" si="50"/>
        <v>8.9174311926605507E-2</v>
      </c>
      <c r="D53" s="38">
        <f t="shared" ref="D53:E53" si="51">+D48/D41</f>
        <v>7.843313822602431E-2</v>
      </c>
      <c r="E53" s="38">
        <f t="shared" si="51"/>
        <v>8.6130462317922735E-2</v>
      </c>
      <c r="F53" s="38">
        <f t="shared" ref="F53:G53" si="52">+F48/F41</f>
        <v>8.3034341363403388E-2</v>
      </c>
      <c r="G53" s="38">
        <f t="shared" si="52"/>
        <v>0.10552527720353318</v>
      </c>
      <c r="H53" s="38">
        <f t="shared" ref="H53" si="53">+H48/H41</f>
        <v>0.10019554893379272</v>
      </c>
      <c r="I53" s="38">
        <f t="shared" ref="I53:N53" si="54">+I48/I41</f>
        <v>9.3874525067185619E-2</v>
      </c>
      <c r="J53" s="38">
        <f t="shared" si="54"/>
        <v>6.3606861381548446E-2</v>
      </c>
      <c r="K53" s="38">
        <f t="shared" si="54"/>
        <v>5.536393384628991E-2</v>
      </c>
      <c r="L53" s="38">
        <f t="shared" si="54"/>
        <v>3.3772723356595161E-2</v>
      </c>
      <c r="M53" s="38">
        <f t="shared" si="54"/>
        <v>3.7322376305427153E-2</v>
      </c>
      <c r="N53" s="38">
        <f t="shared" si="54"/>
        <v>5.6466462078035948E-2</v>
      </c>
      <c r="O53" s="38">
        <f t="shared" ref="O53:T53" si="55">+O48/O41</f>
        <v>7.2314614732350443E-2</v>
      </c>
      <c r="P53" s="38">
        <f t="shared" si="55"/>
        <v>6.7559329450690042E-2</v>
      </c>
      <c r="Q53" s="38">
        <f t="shared" si="55"/>
        <v>5.6881400198543569E-2</v>
      </c>
      <c r="R53" s="38">
        <f t="shared" si="55"/>
        <v>5.0762575717457938E-2</v>
      </c>
      <c r="S53" s="38">
        <f t="shared" si="55"/>
        <v>4.38489646772229E-2</v>
      </c>
      <c r="T53" s="38">
        <f t="shared" si="55"/>
        <v>4.6350425922832804E-2</v>
      </c>
    </row>
    <row r="54" spans="1:23" s="38" customFormat="1">
      <c r="A54" s="39" t="s">
        <v>82</v>
      </c>
      <c r="B54" s="40">
        <v>9.5</v>
      </c>
      <c r="C54" s="40">
        <v>9.5</v>
      </c>
      <c r="D54" s="40">
        <v>9.5</v>
      </c>
      <c r="E54" s="40">
        <v>9.5</v>
      </c>
      <c r="F54" s="40">
        <v>9.5</v>
      </c>
      <c r="G54" s="40">
        <v>9.5</v>
      </c>
      <c r="H54" s="40">
        <v>9.5</v>
      </c>
      <c r="I54" s="40">
        <v>9.5</v>
      </c>
      <c r="J54" s="40">
        <v>9.5</v>
      </c>
      <c r="K54" s="40">
        <v>9.5</v>
      </c>
      <c r="L54" s="40">
        <v>9.5</v>
      </c>
      <c r="M54" s="40">
        <v>9.5</v>
      </c>
      <c r="N54" s="40">
        <v>9.5</v>
      </c>
      <c r="O54" s="40">
        <v>9.5</v>
      </c>
      <c r="P54" s="40">
        <v>9.5</v>
      </c>
      <c r="Q54" s="40">
        <v>9.5</v>
      </c>
      <c r="R54" s="40">
        <v>9.5</v>
      </c>
      <c r="S54" s="40">
        <v>9.5</v>
      </c>
      <c r="T54" s="40">
        <v>9.5</v>
      </c>
      <c r="U54" s="39"/>
      <c r="V54" s="39"/>
      <c r="W54" s="39"/>
    </row>
    <row r="55" spans="1:23" s="38" customFormat="1">
      <c r="A55" s="38" t="s">
        <v>83</v>
      </c>
      <c r="B55" s="41" t="str">
        <f t="shared" ref="B55:C55" si="56">IF(B42=0,IF(B54="","","*"&amp;TEXT(B54,"0.0x")),(B41+B42-B44)/B47)</f>
        <v>*9.5x</v>
      </c>
      <c r="C55" s="41" t="str">
        <f t="shared" si="56"/>
        <v>*9.5x</v>
      </c>
      <c r="D55" s="41" t="str">
        <f t="shared" ref="D55:E55" si="57">IF(D42=0,IF(D54="","","*"&amp;TEXT(D54,"0.0x")),(D41+D42-D44)/D47)</f>
        <v>*9.5x</v>
      </c>
      <c r="E55" s="41" t="str">
        <f t="shared" si="57"/>
        <v>*9.5x</v>
      </c>
      <c r="F55" s="41" t="str">
        <f t="shared" ref="F55:G55" si="58">IF(F42=0,IF(F54="","","*"&amp;TEXT(F54,"0.0x")),(F41+F42-F44)/F47)</f>
        <v>*9.5x</v>
      </c>
      <c r="G55" s="41" t="str">
        <f t="shared" si="58"/>
        <v>*9.5x</v>
      </c>
      <c r="H55" s="41" t="str">
        <f t="shared" ref="H55" si="59">IF(H42=0,IF(H54="","","*"&amp;TEXT(H54,"0.0x")),(H41+H42-H44)/H47)</f>
        <v>*9.5x</v>
      </c>
      <c r="I55" s="41" t="str">
        <f t="shared" ref="I55:N55" si="60">IF(I42=0,IF(I54="","","*"&amp;TEXT(I54,"0.0x")),(I41+I42-I44)/I47)</f>
        <v>*9.5x</v>
      </c>
      <c r="J55" s="41" t="str">
        <f t="shared" si="60"/>
        <v>*9.5x</v>
      </c>
      <c r="K55" s="41" t="str">
        <f t="shared" si="60"/>
        <v>*9.5x</v>
      </c>
      <c r="L55" s="41" t="str">
        <f t="shared" si="60"/>
        <v>*9.5x</v>
      </c>
      <c r="M55" s="41" t="str">
        <f t="shared" si="60"/>
        <v>*9.5x</v>
      </c>
      <c r="N55" s="41" t="str">
        <f t="shared" si="60"/>
        <v>*9.5x</v>
      </c>
      <c r="O55" s="41" t="str">
        <f t="shared" ref="O55:T55" si="61">IF(O42=0,IF(O54="","","*"&amp;TEXT(O54,"0.0x")),(O41+O42-O44)/O47)</f>
        <v>*9.5x</v>
      </c>
      <c r="P55" s="41" t="str">
        <f t="shared" si="61"/>
        <v>*9.5x</v>
      </c>
      <c r="Q55" s="41" t="str">
        <f t="shared" si="61"/>
        <v>*9.5x</v>
      </c>
      <c r="R55" s="41" t="str">
        <f t="shared" si="61"/>
        <v>*9.5x</v>
      </c>
      <c r="S55" s="41" t="str">
        <f t="shared" si="61"/>
        <v>*9.5x</v>
      </c>
      <c r="T55" s="41" t="str">
        <f t="shared" si="61"/>
        <v>*9.5x</v>
      </c>
      <c r="U55" s="41" t="str">
        <f>IF(U42=0,IF(U54="","",CONCATENATE("* ",U54,"x")),(U41+U42-U44)/U47)</f>
        <v/>
      </c>
      <c r="V55" s="41" t="str">
        <f>IF(V42=0,IF(V54="","",CONCATENATE("* ",V54,"x")),(V41+V42-V44)/V47)</f>
        <v/>
      </c>
      <c r="W55" s="41" t="str">
        <f>IF(W42=0,IF(W54="","",CONCATENATE("* ",W54,"x")),(W41+W42-W44)/W47)</f>
        <v/>
      </c>
    </row>
    <row r="56" spans="1:23">
      <c r="T56" s="42"/>
    </row>
    <row r="57" spans="1:23" ht="80.25" customHeight="1">
      <c r="A57" s="43" t="s">
        <v>84</v>
      </c>
      <c r="B57" s="44"/>
      <c r="C57" s="44" t="s">
        <v>290</v>
      </c>
      <c r="D57" s="44" t="s">
        <v>290</v>
      </c>
      <c r="E57" s="44" t="s">
        <v>290</v>
      </c>
      <c r="F57" s="44" t="s">
        <v>301</v>
      </c>
      <c r="G57" s="44" t="s">
        <v>290</v>
      </c>
      <c r="H57" s="44" t="s">
        <v>290</v>
      </c>
      <c r="I57" s="44" t="s">
        <v>290</v>
      </c>
      <c r="J57" s="44" t="s">
        <v>301</v>
      </c>
      <c r="K57" s="44" t="s">
        <v>290</v>
      </c>
      <c r="L57" s="44" t="s">
        <v>290</v>
      </c>
      <c r="M57" s="44"/>
      <c r="N57" s="44"/>
      <c r="O57" s="44" t="s">
        <v>90</v>
      </c>
      <c r="P57" s="44" t="s">
        <v>90</v>
      </c>
      <c r="Q57" s="44"/>
      <c r="R57" s="44"/>
      <c r="S57" s="44"/>
      <c r="T57" s="44"/>
      <c r="U57" s="44"/>
      <c r="V57" s="44"/>
      <c r="W57" s="44"/>
    </row>
    <row r="58" spans="1:23">
      <c r="A58" s="45"/>
      <c r="B58" s="42"/>
      <c r="C58" s="42"/>
      <c r="D58" s="42"/>
      <c r="E58" s="42"/>
      <c r="F58" s="42"/>
      <c r="G58" s="42"/>
      <c r="H58" s="42"/>
      <c r="I58" s="42"/>
      <c r="J58" s="42"/>
      <c r="K58" s="42"/>
      <c r="L58" s="42"/>
      <c r="M58" s="42"/>
      <c r="N58" s="42"/>
      <c r="O58" s="42"/>
      <c r="P58" s="42"/>
    </row>
    <row r="59" spans="1:23">
      <c r="A59" s="45"/>
    </row>
  </sheetData>
  <pageMargins left="0.7" right="0.7" top="0.75" bottom="0.75" header="0.3" footer="0.3"/>
  <pageSetup orientation="portrait" r:id="rId1"/>
  <ignoredErrors>
    <ignoredError sqref="O46:T51 G50" formulaRange="1"/>
  </ignoredErrors>
  <legacy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6BB77-5FA2-4FDF-97D8-73C498135F03}">
  <dimension ref="A2:I59"/>
  <sheetViews>
    <sheetView showGridLines="0" zoomScaleNormal="100" workbookViewId="0">
      <pane xSplit="1" ySplit="10" topLeftCell="B11" activePane="bottomRight" state="frozen"/>
      <selection activeCell="B8" sqref="B8"/>
      <selection pane="topRight" activeCell="B8" sqref="B8"/>
      <selection pane="bottomLeft" activeCell="B8" sqref="B8"/>
      <selection pane="bottomRight" activeCell="B11" sqref="B11"/>
    </sheetView>
  </sheetViews>
  <sheetFormatPr defaultColWidth="9.109375" defaultRowHeight="13.8"/>
  <cols>
    <col min="1" max="1" width="22.6640625" style="14" customWidth="1"/>
    <col min="2" max="9" width="10.6640625" style="14" customWidth="1"/>
    <col min="10" max="16384" width="9.109375" style="14"/>
  </cols>
  <sheetData>
    <row r="2" spans="1:9">
      <c r="A2" s="13" t="s">
        <v>44</v>
      </c>
      <c r="B2" s="14" t="s">
        <v>623</v>
      </c>
    </row>
    <row r="3" spans="1:9" s="16" customFormat="1">
      <c r="A3" s="15" t="s">
        <v>45</v>
      </c>
      <c r="B3" s="16" t="s">
        <v>624</v>
      </c>
    </row>
    <row r="4" spans="1:9">
      <c r="A4" s="13" t="s">
        <v>2</v>
      </c>
      <c r="B4" s="14" t="s">
        <v>4</v>
      </c>
    </row>
    <row r="5" spans="1:9">
      <c r="A5" s="13" t="s">
        <v>46</v>
      </c>
    </row>
    <row r="6" spans="1:9">
      <c r="A6" s="13" t="s">
        <v>47</v>
      </c>
      <c r="B6" s="14">
        <v>3</v>
      </c>
    </row>
    <row r="7" spans="1:9">
      <c r="A7" s="13" t="s">
        <v>48</v>
      </c>
      <c r="B7" s="14" t="s">
        <v>596</v>
      </c>
    </row>
    <row r="8" spans="1:9">
      <c r="A8" s="13" t="s">
        <v>347</v>
      </c>
      <c r="B8" s="14" t="s">
        <v>625</v>
      </c>
    </row>
    <row r="9" spans="1:9">
      <c r="A9" s="17"/>
    </row>
    <row r="10" spans="1:9">
      <c r="A10" s="17" t="s">
        <v>49</v>
      </c>
      <c r="B10" s="18">
        <v>44286</v>
      </c>
      <c r="C10" s="18">
        <f>EOMONTH(B10,-3)</f>
        <v>44196</v>
      </c>
      <c r="D10" s="18">
        <f t="shared" ref="D10:I10" si="0">EOMONTH(C10,-3)</f>
        <v>44104</v>
      </c>
      <c r="E10" s="18">
        <f t="shared" si="0"/>
        <v>44012</v>
      </c>
      <c r="F10" s="18">
        <f t="shared" si="0"/>
        <v>43921</v>
      </c>
      <c r="G10" s="18">
        <f t="shared" si="0"/>
        <v>43830</v>
      </c>
      <c r="H10" s="18">
        <f t="shared" si="0"/>
        <v>43738</v>
      </c>
      <c r="I10" s="18">
        <f t="shared" si="0"/>
        <v>43646</v>
      </c>
    </row>
    <row r="12" spans="1:9">
      <c r="A12" s="19" t="s">
        <v>50</v>
      </c>
      <c r="B12" s="20">
        <v>0</v>
      </c>
      <c r="C12" s="20">
        <v>0</v>
      </c>
      <c r="D12" s="20">
        <v>0</v>
      </c>
      <c r="E12" s="20">
        <v>0</v>
      </c>
      <c r="F12" s="20">
        <v>0</v>
      </c>
      <c r="G12" s="20">
        <v>0</v>
      </c>
      <c r="H12" s="20">
        <v>0</v>
      </c>
      <c r="I12" s="20">
        <v>0</v>
      </c>
    </row>
    <row r="13" spans="1:9" s="21" customFormat="1">
      <c r="A13" s="21" t="s">
        <v>51</v>
      </c>
      <c r="B13" s="21" t="e">
        <f>+B12/F12-1</f>
        <v>#DIV/0!</v>
      </c>
      <c r="C13" s="21" t="e">
        <f>+C12/G12-1</f>
        <v>#DIV/0!</v>
      </c>
      <c r="D13" s="21" t="e">
        <f>+D12/H12-1</f>
        <v>#DIV/0!</v>
      </c>
      <c r="E13" s="21" t="e">
        <f>+E12/I12-1</f>
        <v>#DIV/0!</v>
      </c>
    </row>
    <row r="14" spans="1:9" s="24" customFormat="1">
      <c r="A14" s="22" t="s">
        <v>52</v>
      </c>
      <c r="B14" s="23" t="s">
        <v>3</v>
      </c>
      <c r="C14" s="23" t="s">
        <v>3</v>
      </c>
      <c r="D14" s="23" t="s">
        <v>3</v>
      </c>
      <c r="E14" s="23" t="s">
        <v>3</v>
      </c>
      <c r="F14" s="22"/>
      <c r="G14" s="22"/>
      <c r="H14" s="22"/>
      <c r="I14" s="22"/>
    </row>
    <row r="16" spans="1:9" s="17" customFormat="1">
      <c r="A16" s="25" t="s">
        <v>53</v>
      </c>
      <c r="B16" s="26">
        <v>0</v>
      </c>
      <c r="C16" s="26">
        <v>0</v>
      </c>
      <c r="D16" s="26">
        <v>0</v>
      </c>
      <c r="E16" s="26">
        <v>0</v>
      </c>
      <c r="F16" s="26">
        <v>0</v>
      </c>
      <c r="G16" s="26">
        <v>0</v>
      </c>
      <c r="H16" s="26">
        <v>0</v>
      </c>
      <c r="I16" s="26">
        <v>0</v>
      </c>
    </row>
    <row r="17" spans="1:9" s="21" customFormat="1">
      <c r="A17" s="21" t="s">
        <v>54</v>
      </c>
      <c r="B17" s="21" t="e">
        <f>+B16/B12</f>
        <v>#DIV/0!</v>
      </c>
      <c r="C17" s="21" t="e">
        <f t="shared" ref="C17:I17" si="1">+C16/C12</f>
        <v>#DIV/0!</v>
      </c>
      <c r="D17" s="21" t="e">
        <f t="shared" si="1"/>
        <v>#DIV/0!</v>
      </c>
      <c r="E17" s="21" t="e">
        <f t="shared" si="1"/>
        <v>#DIV/0!</v>
      </c>
      <c r="F17" s="21" t="e">
        <f t="shared" si="1"/>
        <v>#DIV/0!</v>
      </c>
      <c r="G17" s="21" t="e">
        <f t="shared" si="1"/>
        <v>#DIV/0!</v>
      </c>
      <c r="H17" s="21" t="e">
        <f t="shared" si="1"/>
        <v>#DIV/0!</v>
      </c>
      <c r="I17" s="21" t="e">
        <f t="shared" si="1"/>
        <v>#DIV/0!</v>
      </c>
    </row>
    <row r="18" spans="1:9" s="24" customFormat="1"/>
    <row r="19" spans="1:9" s="24" customFormat="1">
      <c r="A19" s="19" t="s">
        <v>55</v>
      </c>
      <c r="B19" s="20">
        <v>0</v>
      </c>
      <c r="C19" s="20">
        <v>0</v>
      </c>
      <c r="D19" s="20">
        <v>0</v>
      </c>
      <c r="E19" s="20">
        <v>0</v>
      </c>
      <c r="F19" s="20">
        <v>0</v>
      </c>
      <c r="G19" s="20">
        <v>0</v>
      </c>
      <c r="H19" s="20">
        <v>0</v>
      </c>
      <c r="I19" s="20">
        <v>0</v>
      </c>
    </row>
    <row r="20" spans="1:9" s="24" customFormat="1">
      <c r="A20" s="19" t="s">
        <v>56</v>
      </c>
      <c r="B20" s="20">
        <v>0</v>
      </c>
      <c r="C20" s="20">
        <v>0</v>
      </c>
      <c r="D20" s="20">
        <v>0</v>
      </c>
      <c r="E20" s="20">
        <v>0</v>
      </c>
      <c r="F20" s="20">
        <v>0</v>
      </c>
      <c r="G20" s="20">
        <v>0</v>
      </c>
      <c r="H20" s="20">
        <v>0</v>
      </c>
      <c r="I20" s="20">
        <v>0</v>
      </c>
    </row>
    <row r="21" spans="1:9" s="24" customFormat="1">
      <c r="A21" s="19" t="s">
        <v>57</v>
      </c>
      <c r="B21" s="20">
        <v>0</v>
      </c>
      <c r="C21" s="20">
        <v>0</v>
      </c>
      <c r="D21" s="20">
        <v>0</v>
      </c>
      <c r="E21" s="20">
        <v>0</v>
      </c>
      <c r="F21" s="20">
        <v>0</v>
      </c>
      <c r="G21" s="20">
        <v>0</v>
      </c>
      <c r="H21" s="20">
        <v>0</v>
      </c>
      <c r="I21" s="20">
        <v>0</v>
      </c>
    </row>
    <row r="22" spans="1:9" s="17" customFormat="1">
      <c r="A22" s="17" t="s">
        <v>58</v>
      </c>
      <c r="B22" s="27">
        <f>SUM(B16,B19:B21)</f>
        <v>0</v>
      </c>
      <c r="C22" s="27">
        <f t="shared" ref="C22:I22" si="2">SUM(C16,C19:C21)</f>
        <v>0</v>
      </c>
      <c r="D22" s="27">
        <f t="shared" si="2"/>
        <v>0</v>
      </c>
      <c r="E22" s="27">
        <f t="shared" si="2"/>
        <v>0</v>
      </c>
      <c r="F22" s="27">
        <f t="shared" si="2"/>
        <v>0</v>
      </c>
      <c r="G22" s="27">
        <f t="shared" si="2"/>
        <v>0</v>
      </c>
      <c r="H22" s="27">
        <f t="shared" si="2"/>
        <v>0</v>
      </c>
      <c r="I22" s="27">
        <f t="shared" si="2"/>
        <v>0</v>
      </c>
    </row>
    <row r="23" spans="1:9" s="17" customFormat="1">
      <c r="B23" s="27"/>
      <c r="C23" s="27"/>
      <c r="D23" s="27"/>
      <c r="E23" s="27"/>
      <c r="F23" s="27"/>
      <c r="G23" s="27"/>
      <c r="H23" s="27"/>
      <c r="I23" s="27"/>
    </row>
    <row r="24" spans="1:9" s="17" customFormat="1">
      <c r="A24" s="17" t="s">
        <v>59</v>
      </c>
      <c r="B24" s="27">
        <f>SUM(B22:E22)</f>
        <v>0</v>
      </c>
      <c r="C24" s="27">
        <f>SUM(C22:F22)</f>
        <v>0</v>
      </c>
      <c r="D24" s="27">
        <f>SUM(D22:G22)</f>
        <v>0</v>
      </c>
      <c r="E24" s="27">
        <f>SUM(E22:H22)</f>
        <v>0</v>
      </c>
      <c r="F24" s="27">
        <f>SUM(F22:I22)</f>
        <v>0</v>
      </c>
      <c r="G24" s="27"/>
      <c r="H24" s="27"/>
      <c r="I24" s="27"/>
    </row>
    <row r="25" spans="1:9" s="24" customFormat="1">
      <c r="A25" s="19" t="s">
        <v>60</v>
      </c>
      <c r="B25" s="28">
        <v>0</v>
      </c>
      <c r="C25" s="28">
        <v>0</v>
      </c>
      <c r="D25" s="28">
        <v>0</v>
      </c>
      <c r="E25" s="28">
        <v>0</v>
      </c>
      <c r="F25" s="28">
        <v>0</v>
      </c>
      <c r="G25" s="28">
        <v>0</v>
      </c>
      <c r="H25" s="28">
        <v>0</v>
      </c>
      <c r="I25" s="28">
        <v>0</v>
      </c>
    </row>
    <row r="26" spans="1:9" s="24" customFormat="1">
      <c r="A26" s="19" t="s">
        <v>61</v>
      </c>
      <c r="B26" s="29">
        <v>0</v>
      </c>
      <c r="C26" s="29">
        <v>0</v>
      </c>
      <c r="D26" s="29">
        <v>0</v>
      </c>
      <c r="E26" s="29">
        <v>0</v>
      </c>
      <c r="F26" s="29">
        <v>0</v>
      </c>
      <c r="G26" s="30"/>
      <c r="H26" s="30"/>
      <c r="I26" s="30"/>
    </row>
    <row r="27" spans="1:9" s="32" customFormat="1">
      <c r="A27" s="17" t="s">
        <v>62</v>
      </c>
      <c r="B27" s="27">
        <f>SUM(B24:B26)</f>
        <v>0</v>
      </c>
      <c r="C27" s="27">
        <f>SUM(C24:C26)</f>
        <v>0</v>
      </c>
      <c r="D27" s="27">
        <f>SUM(D24:D26)</f>
        <v>0</v>
      </c>
      <c r="E27" s="27">
        <f>SUM(E24:E26)</f>
        <v>0</v>
      </c>
      <c r="F27" s="27">
        <f>SUM(F24:F26)</f>
        <v>0</v>
      </c>
      <c r="G27" s="31"/>
      <c r="H27" s="31"/>
      <c r="I27" s="31"/>
    </row>
    <row r="28" spans="1:9" s="24" customFormat="1"/>
    <row r="29" spans="1:9" s="17" customFormat="1">
      <c r="A29" s="17" t="s">
        <v>58</v>
      </c>
      <c r="B29" s="27">
        <f t="shared" ref="B29:I29" si="3">B22</f>
        <v>0</v>
      </c>
      <c r="C29" s="27">
        <f t="shared" si="3"/>
        <v>0</v>
      </c>
      <c r="D29" s="27">
        <f t="shared" si="3"/>
        <v>0</v>
      </c>
      <c r="E29" s="27">
        <f t="shared" si="3"/>
        <v>0</v>
      </c>
      <c r="F29" s="27">
        <f t="shared" si="3"/>
        <v>0</v>
      </c>
      <c r="G29" s="27">
        <f t="shared" si="3"/>
        <v>0</v>
      </c>
      <c r="H29" s="27">
        <f t="shared" si="3"/>
        <v>0</v>
      </c>
      <c r="I29" s="27">
        <f t="shared" si="3"/>
        <v>0</v>
      </c>
    </row>
    <row r="30" spans="1:9" s="33" customFormat="1">
      <c r="A30" s="20" t="s">
        <v>63</v>
      </c>
      <c r="B30" s="20">
        <v>0</v>
      </c>
      <c r="C30" s="20">
        <v>0</v>
      </c>
      <c r="D30" s="20">
        <v>0</v>
      </c>
      <c r="E30" s="20">
        <v>0</v>
      </c>
      <c r="F30" s="20">
        <v>0</v>
      </c>
      <c r="G30" s="20">
        <v>0</v>
      </c>
      <c r="H30" s="20">
        <v>0</v>
      </c>
      <c r="I30" s="20">
        <v>0</v>
      </c>
    </row>
    <row r="31" spans="1:9" s="33" customFormat="1">
      <c r="A31" s="20" t="s">
        <v>64</v>
      </c>
      <c r="B31" s="20">
        <v>0</v>
      </c>
      <c r="C31" s="20">
        <v>0</v>
      </c>
      <c r="D31" s="20">
        <v>0</v>
      </c>
      <c r="E31" s="20">
        <v>0</v>
      </c>
      <c r="F31" s="20">
        <v>0</v>
      </c>
      <c r="G31" s="20">
        <v>0</v>
      </c>
      <c r="H31" s="20">
        <v>0</v>
      </c>
      <c r="I31" s="20">
        <v>0</v>
      </c>
    </row>
    <row r="32" spans="1:9" s="33" customFormat="1">
      <c r="A32" s="20" t="s">
        <v>65</v>
      </c>
      <c r="B32" s="20">
        <v>0</v>
      </c>
      <c r="C32" s="20">
        <v>0</v>
      </c>
      <c r="D32" s="20">
        <v>0</v>
      </c>
      <c r="E32" s="20">
        <v>0</v>
      </c>
      <c r="F32" s="20">
        <v>0</v>
      </c>
      <c r="G32" s="20">
        <v>0</v>
      </c>
      <c r="H32" s="20">
        <v>0</v>
      </c>
      <c r="I32" s="20">
        <v>0</v>
      </c>
    </row>
    <row r="33" spans="1:9" s="33" customFormat="1">
      <c r="A33" s="20" t="s">
        <v>66</v>
      </c>
      <c r="B33" s="20">
        <v>0</v>
      </c>
      <c r="C33" s="20">
        <v>0</v>
      </c>
      <c r="D33" s="20">
        <v>0</v>
      </c>
      <c r="E33" s="20">
        <v>0</v>
      </c>
      <c r="F33" s="20">
        <v>0</v>
      </c>
      <c r="G33" s="20">
        <v>0</v>
      </c>
      <c r="H33" s="20">
        <v>0</v>
      </c>
      <c r="I33" s="20">
        <v>0</v>
      </c>
    </row>
    <row r="34" spans="1:9" s="33" customFormat="1">
      <c r="A34" s="20" t="s">
        <v>57</v>
      </c>
      <c r="B34" s="29">
        <v>0</v>
      </c>
      <c r="C34" s="29">
        <v>0</v>
      </c>
      <c r="D34" s="29">
        <v>0</v>
      </c>
      <c r="E34" s="29">
        <v>0</v>
      </c>
      <c r="F34" s="29">
        <v>0</v>
      </c>
      <c r="G34" s="29">
        <v>0</v>
      </c>
      <c r="H34" s="29">
        <v>0</v>
      </c>
      <c r="I34" s="29">
        <v>0</v>
      </c>
    </row>
    <row r="35" spans="1:9" s="27" customFormat="1">
      <c r="A35" s="27" t="s">
        <v>67</v>
      </c>
      <c r="B35" s="27">
        <v>0</v>
      </c>
      <c r="C35" s="27">
        <v>0</v>
      </c>
      <c r="D35" s="27">
        <v>0</v>
      </c>
      <c r="E35" s="27">
        <v>0</v>
      </c>
      <c r="F35" s="27">
        <v>0</v>
      </c>
      <c r="G35" s="27">
        <v>0</v>
      </c>
      <c r="H35" s="27">
        <v>0</v>
      </c>
      <c r="I35" s="27">
        <v>0</v>
      </c>
    </row>
    <row r="36" spans="1:9" s="33" customFormat="1">
      <c r="A36" s="20" t="s">
        <v>68</v>
      </c>
      <c r="B36" s="29">
        <v>0</v>
      </c>
      <c r="C36" s="29">
        <v>0</v>
      </c>
      <c r="D36" s="29">
        <v>0</v>
      </c>
      <c r="E36" s="29">
        <v>0</v>
      </c>
      <c r="F36" s="29">
        <v>0</v>
      </c>
      <c r="G36" s="29">
        <v>0</v>
      </c>
      <c r="H36" s="29">
        <v>0</v>
      </c>
      <c r="I36" s="29">
        <v>0</v>
      </c>
    </row>
    <row r="37" spans="1:9" s="27" customFormat="1">
      <c r="A37" s="27" t="s">
        <v>69</v>
      </c>
      <c r="B37" s="27">
        <f>+B35+B36</f>
        <v>0</v>
      </c>
      <c r="C37" s="27">
        <f t="shared" ref="C37:I37" si="4">+C35+C36</f>
        <v>0</v>
      </c>
      <c r="D37" s="27">
        <f t="shared" si="4"/>
        <v>0</v>
      </c>
      <c r="E37" s="27">
        <f t="shared" si="4"/>
        <v>0</v>
      </c>
      <c r="F37" s="27">
        <f t="shared" si="4"/>
        <v>0</v>
      </c>
      <c r="G37" s="27">
        <f t="shared" si="4"/>
        <v>0</v>
      </c>
      <c r="H37" s="27">
        <f t="shared" si="4"/>
        <v>0</v>
      </c>
      <c r="I37" s="27">
        <f t="shared" si="4"/>
        <v>0</v>
      </c>
    </row>
    <row r="39" spans="1:9" s="35" customFormat="1">
      <c r="A39" s="34" t="s">
        <v>70</v>
      </c>
      <c r="B39" s="20">
        <v>1</v>
      </c>
      <c r="C39" s="20"/>
      <c r="D39" s="20"/>
      <c r="E39" s="20"/>
      <c r="F39" s="20"/>
      <c r="G39" s="20"/>
      <c r="H39" s="20"/>
      <c r="I39" s="20"/>
    </row>
    <row r="40" spans="1:9" s="35" customFormat="1">
      <c r="A40" s="34" t="s">
        <v>71</v>
      </c>
      <c r="B40" s="20">
        <f>1425+42+13</f>
        <v>1480</v>
      </c>
      <c r="C40" s="20"/>
      <c r="D40" s="20"/>
      <c r="E40" s="20"/>
      <c r="F40" s="20"/>
      <c r="G40" s="20"/>
      <c r="H40" s="20"/>
      <c r="I40" s="20"/>
    </row>
    <row r="41" spans="1:9" s="35" customFormat="1">
      <c r="A41" s="34" t="s">
        <v>72</v>
      </c>
      <c r="B41" s="20">
        <f>B39+B40+540</f>
        <v>2021</v>
      </c>
      <c r="C41" s="20"/>
      <c r="D41" s="20"/>
      <c r="E41" s="20"/>
      <c r="F41" s="20"/>
      <c r="G41" s="20"/>
      <c r="H41" s="20"/>
      <c r="I41" s="20"/>
    </row>
    <row r="42" spans="1:9" s="35" customFormat="1">
      <c r="A42" s="34" t="s">
        <v>73</v>
      </c>
      <c r="B42" s="36">
        <v>1769</v>
      </c>
      <c r="C42" s="36"/>
      <c r="D42" s="36"/>
      <c r="E42" s="36"/>
      <c r="F42" s="36"/>
      <c r="G42" s="36"/>
      <c r="H42" s="36"/>
      <c r="I42" s="36"/>
    </row>
    <row r="43" spans="1:9">
      <c r="B43" s="35"/>
      <c r="C43" s="35"/>
      <c r="D43" s="35"/>
    </row>
    <row r="44" spans="1:9">
      <c r="A44" s="19" t="s">
        <v>74</v>
      </c>
      <c r="B44" s="28">
        <v>7</v>
      </c>
      <c r="C44" s="28"/>
      <c r="D44" s="28"/>
      <c r="E44" s="28"/>
      <c r="F44" s="28"/>
      <c r="G44" s="57"/>
      <c r="H44" s="57"/>
      <c r="I44" s="57"/>
    </row>
    <row r="46" spans="1:9">
      <c r="A46" s="14" t="s">
        <v>75</v>
      </c>
      <c r="B46" s="51">
        <v>2236</v>
      </c>
      <c r="C46" s="33"/>
      <c r="D46" s="33"/>
      <c r="E46" s="33"/>
      <c r="F46" s="33"/>
    </row>
    <row r="47" spans="1:9">
      <c r="A47" s="14" t="s">
        <v>76</v>
      </c>
      <c r="B47" s="51">
        <v>582</v>
      </c>
      <c r="C47" s="33"/>
      <c r="D47" s="33"/>
      <c r="E47" s="33"/>
      <c r="F47" s="33"/>
    </row>
    <row r="48" spans="1:9">
      <c r="A48" s="14" t="s">
        <v>77</v>
      </c>
      <c r="B48" s="51">
        <v>350</v>
      </c>
      <c r="C48" s="33"/>
      <c r="D48" s="33"/>
      <c r="E48" s="33"/>
      <c r="F48" s="33"/>
    </row>
    <row r="50" spans="1:9" s="37" customFormat="1">
      <c r="A50" s="37" t="s">
        <v>78</v>
      </c>
      <c r="B50" s="37">
        <f>+SUM(B39:B40)/B47</f>
        <v>2.5446735395189002</v>
      </c>
    </row>
    <row r="51" spans="1:9" s="37" customFormat="1">
      <c r="A51" s="37" t="s">
        <v>79</v>
      </c>
      <c r="B51" s="37">
        <f>+B41/B47</f>
        <v>3.4725085910652922</v>
      </c>
    </row>
    <row r="52" spans="1:9" s="37" customFormat="1">
      <c r="A52" s="37" t="s">
        <v>80</v>
      </c>
      <c r="B52" s="37">
        <f>+(B41-B44)/B47</f>
        <v>3.4604810996563575</v>
      </c>
    </row>
    <row r="53" spans="1:9" s="38" customFormat="1">
      <c r="A53" s="38" t="s">
        <v>81</v>
      </c>
      <c r="B53" s="38">
        <f>+B48/B41</f>
        <v>0.1731815932706581</v>
      </c>
    </row>
    <row r="54" spans="1:9" s="38" customFormat="1">
      <c r="A54" s="39" t="s">
        <v>82</v>
      </c>
      <c r="B54" s="40"/>
      <c r="C54" s="40"/>
      <c r="D54" s="40"/>
      <c r="E54" s="40"/>
      <c r="F54" s="40"/>
      <c r="G54" s="39"/>
      <c r="H54" s="39"/>
      <c r="I54" s="39"/>
    </row>
    <row r="55" spans="1:9" s="38" customFormat="1">
      <c r="A55" s="38" t="s">
        <v>83</v>
      </c>
      <c r="B55" s="41">
        <f>IF(B42=0,IF(B54="","","*"&amp;TEXT(B54,"0.0x")),(B41+B42-B44)/B47)</f>
        <v>6.5</v>
      </c>
      <c r="C55" s="41"/>
      <c r="D55" s="41"/>
      <c r="E55" s="41"/>
      <c r="F55" s="41"/>
      <c r="G55" s="41" t="str">
        <f>IF(G42=0,IF(G54="","",CONCATENATE("* ",G54,"x")),(G41+G42-G44)/G47)</f>
        <v/>
      </c>
      <c r="H55" s="41" t="str">
        <f>IF(H42=0,IF(H54="","",CONCATENATE("* ",H54,"x")),(H41+H42-H44)/H47)</f>
        <v/>
      </c>
      <c r="I55" s="41" t="str">
        <f>IF(I42=0,IF(I54="","",CONCATENATE("* ",I54,"x")),(I41+I42-I44)/I47)</f>
        <v/>
      </c>
    </row>
    <row r="56" spans="1:9">
      <c r="F56" s="42"/>
    </row>
    <row r="57" spans="1:9" ht="80.25" customHeight="1">
      <c r="A57" s="43" t="s">
        <v>84</v>
      </c>
      <c r="B57" s="44" t="s">
        <v>90</v>
      </c>
      <c r="C57" s="44"/>
      <c r="D57" s="44"/>
      <c r="E57" s="44"/>
      <c r="F57" s="44"/>
      <c r="G57" s="44"/>
      <c r="H57" s="44"/>
      <c r="I57" s="44"/>
    </row>
    <row r="58" spans="1:9">
      <c r="A58" s="45"/>
      <c r="B58" s="42"/>
    </row>
    <row r="59" spans="1:9">
      <c r="A59" s="45"/>
    </row>
  </sheetData>
  <pageMargins left="0.7" right="0.7" top="0.75" bottom="0.75" header="0.3" footer="0.3"/>
  <pageSetup orientation="portrait"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69020-BC4B-4EF9-A585-113B6C051BC4}">
  <dimension ref="A2:I59"/>
  <sheetViews>
    <sheetView showGridLines="0" zoomScaleNormal="100" workbookViewId="0">
      <pane xSplit="1" ySplit="10" topLeftCell="B11" activePane="bottomRight" state="frozen"/>
      <selection activeCell="B8" sqref="B8"/>
      <selection pane="topRight" activeCell="B8" sqref="B8"/>
      <selection pane="bottomLeft" activeCell="B8" sqref="B8"/>
      <selection pane="bottomRight" activeCell="B11" sqref="B11"/>
    </sheetView>
  </sheetViews>
  <sheetFormatPr defaultColWidth="9.109375" defaultRowHeight="13.8"/>
  <cols>
    <col min="1" max="1" width="22.6640625" style="14" customWidth="1"/>
    <col min="2" max="9" width="10.6640625" style="14" customWidth="1"/>
    <col min="10" max="16384" width="9.109375" style="14"/>
  </cols>
  <sheetData>
    <row r="2" spans="1:9">
      <c r="A2" s="13" t="s">
        <v>44</v>
      </c>
      <c r="B2" s="14" t="s">
        <v>635</v>
      </c>
    </row>
    <row r="3" spans="1:9" s="16" customFormat="1">
      <c r="A3" s="15" t="s">
        <v>45</v>
      </c>
      <c r="B3" s="16" t="s">
        <v>637</v>
      </c>
    </row>
    <row r="4" spans="1:9">
      <c r="A4" s="13" t="s">
        <v>2</v>
      </c>
      <c r="B4" s="14" t="s">
        <v>4</v>
      </c>
    </row>
    <row r="5" spans="1:9">
      <c r="A5" s="13" t="s">
        <v>46</v>
      </c>
    </row>
    <row r="6" spans="1:9">
      <c r="A6" s="13" t="s">
        <v>47</v>
      </c>
      <c r="B6" s="14">
        <v>2</v>
      </c>
    </row>
    <row r="7" spans="1:9">
      <c r="A7" s="13" t="s">
        <v>48</v>
      </c>
      <c r="B7" s="14" t="s">
        <v>584</v>
      </c>
    </row>
    <row r="8" spans="1:9">
      <c r="A8" s="13" t="s">
        <v>347</v>
      </c>
      <c r="B8" s="14" t="s">
        <v>638</v>
      </c>
    </row>
    <row r="9" spans="1:9">
      <c r="A9" s="17"/>
    </row>
    <row r="10" spans="1:9">
      <c r="A10" s="17" t="s">
        <v>49</v>
      </c>
      <c r="B10" s="18">
        <v>44286</v>
      </c>
      <c r="C10" s="18">
        <f>EOMONTH(B10,-3)</f>
        <v>44196</v>
      </c>
      <c r="D10" s="18">
        <f t="shared" ref="D10:I10" si="0">EOMONTH(C10,-3)</f>
        <v>44104</v>
      </c>
      <c r="E10" s="18">
        <f t="shared" si="0"/>
        <v>44012</v>
      </c>
      <c r="F10" s="18">
        <f t="shared" si="0"/>
        <v>43921</v>
      </c>
      <c r="G10" s="18">
        <f t="shared" si="0"/>
        <v>43830</v>
      </c>
      <c r="H10" s="18">
        <f t="shared" si="0"/>
        <v>43738</v>
      </c>
      <c r="I10" s="18">
        <f t="shared" si="0"/>
        <v>43646</v>
      </c>
    </row>
    <row r="12" spans="1:9">
      <c r="A12" s="19" t="s">
        <v>50</v>
      </c>
      <c r="B12" s="20">
        <v>0</v>
      </c>
      <c r="C12" s="20">
        <v>0</v>
      </c>
      <c r="D12" s="20">
        <v>0</v>
      </c>
      <c r="E12" s="20">
        <v>0</v>
      </c>
      <c r="F12" s="20">
        <v>0</v>
      </c>
      <c r="G12" s="20">
        <v>0</v>
      </c>
      <c r="H12" s="20">
        <v>0</v>
      </c>
      <c r="I12" s="20">
        <v>0</v>
      </c>
    </row>
    <row r="13" spans="1:9" s="21" customFormat="1">
      <c r="A13" s="21" t="s">
        <v>51</v>
      </c>
      <c r="B13" s="21" t="e">
        <f>+B12/F12-1</f>
        <v>#DIV/0!</v>
      </c>
      <c r="C13" s="21" t="e">
        <f>+C12/G12-1</f>
        <v>#DIV/0!</v>
      </c>
      <c r="D13" s="21" t="e">
        <f>+D12/H12-1</f>
        <v>#DIV/0!</v>
      </c>
      <c r="E13" s="21" t="e">
        <f>+E12/I12-1</f>
        <v>#DIV/0!</v>
      </c>
    </row>
    <row r="14" spans="1:9" s="24" customFormat="1">
      <c r="A14" s="22" t="s">
        <v>52</v>
      </c>
      <c r="B14" s="23" t="s">
        <v>3</v>
      </c>
      <c r="C14" s="23" t="s">
        <v>3</v>
      </c>
      <c r="D14" s="23" t="s">
        <v>3</v>
      </c>
      <c r="E14" s="23" t="s">
        <v>3</v>
      </c>
      <c r="F14" s="22"/>
      <c r="G14" s="22"/>
      <c r="H14" s="22"/>
      <c r="I14" s="22"/>
    </row>
    <row r="16" spans="1:9" s="17" customFormat="1">
      <c r="A16" s="25" t="s">
        <v>53</v>
      </c>
      <c r="B16" s="26">
        <v>0</v>
      </c>
      <c r="C16" s="26">
        <v>0</v>
      </c>
      <c r="D16" s="26">
        <v>0</v>
      </c>
      <c r="E16" s="26">
        <v>0</v>
      </c>
      <c r="F16" s="26">
        <v>0</v>
      </c>
      <c r="G16" s="26">
        <v>0</v>
      </c>
      <c r="H16" s="26">
        <v>0</v>
      </c>
      <c r="I16" s="26">
        <v>0</v>
      </c>
    </row>
    <row r="17" spans="1:9" s="21" customFormat="1">
      <c r="A17" s="21" t="s">
        <v>54</v>
      </c>
      <c r="B17" s="21" t="e">
        <f>+B16/B12</f>
        <v>#DIV/0!</v>
      </c>
      <c r="C17" s="21" t="e">
        <f t="shared" ref="C17:I17" si="1">+C16/C12</f>
        <v>#DIV/0!</v>
      </c>
      <c r="D17" s="21" t="e">
        <f t="shared" si="1"/>
        <v>#DIV/0!</v>
      </c>
      <c r="E17" s="21" t="e">
        <f t="shared" si="1"/>
        <v>#DIV/0!</v>
      </c>
      <c r="F17" s="21" t="e">
        <f t="shared" si="1"/>
        <v>#DIV/0!</v>
      </c>
      <c r="G17" s="21" t="e">
        <f t="shared" si="1"/>
        <v>#DIV/0!</v>
      </c>
      <c r="H17" s="21" t="e">
        <f t="shared" si="1"/>
        <v>#DIV/0!</v>
      </c>
      <c r="I17" s="21" t="e">
        <f t="shared" si="1"/>
        <v>#DIV/0!</v>
      </c>
    </row>
    <row r="18" spans="1:9" s="24" customFormat="1"/>
    <row r="19" spans="1:9" s="24" customFormat="1">
      <c r="A19" s="19" t="s">
        <v>55</v>
      </c>
      <c r="B19" s="20">
        <v>0</v>
      </c>
      <c r="C19" s="20">
        <v>0</v>
      </c>
      <c r="D19" s="20">
        <v>0</v>
      </c>
      <c r="E19" s="20">
        <v>0</v>
      </c>
      <c r="F19" s="20">
        <v>0</v>
      </c>
      <c r="G19" s="20">
        <v>0</v>
      </c>
      <c r="H19" s="20">
        <v>0</v>
      </c>
      <c r="I19" s="20">
        <v>0</v>
      </c>
    </row>
    <row r="20" spans="1:9" s="24" customFormat="1">
      <c r="A20" s="19" t="s">
        <v>56</v>
      </c>
      <c r="B20" s="20">
        <v>0</v>
      </c>
      <c r="C20" s="20">
        <v>0</v>
      </c>
      <c r="D20" s="20">
        <v>0</v>
      </c>
      <c r="E20" s="20">
        <v>0</v>
      </c>
      <c r="F20" s="20">
        <v>0</v>
      </c>
      <c r="G20" s="20">
        <v>0</v>
      </c>
      <c r="H20" s="20">
        <v>0</v>
      </c>
      <c r="I20" s="20">
        <v>0</v>
      </c>
    </row>
    <row r="21" spans="1:9" s="24" customFormat="1">
      <c r="A21" s="19" t="s">
        <v>57</v>
      </c>
      <c r="B21" s="20">
        <v>0</v>
      </c>
      <c r="C21" s="20">
        <v>0</v>
      </c>
      <c r="D21" s="20">
        <v>0</v>
      </c>
      <c r="E21" s="20">
        <v>0</v>
      </c>
      <c r="F21" s="20">
        <v>0</v>
      </c>
      <c r="G21" s="20">
        <v>0</v>
      </c>
      <c r="H21" s="20">
        <v>0</v>
      </c>
      <c r="I21" s="20">
        <v>0</v>
      </c>
    </row>
    <row r="22" spans="1:9" s="17" customFormat="1">
      <c r="A22" s="17" t="s">
        <v>58</v>
      </c>
      <c r="B22" s="27">
        <f>SUM(B16,B19:B21)</f>
        <v>0</v>
      </c>
      <c r="C22" s="27">
        <f t="shared" ref="C22:I22" si="2">SUM(C16,C19:C21)</f>
        <v>0</v>
      </c>
      <c r="D22" s="27">
        <f t="shared" si="2"/>
        <v>0</v>
      </c>
      <c r="E22" s="27">
        <f t="shared" si="2"/>
        <v>0</v>
      </c>
      <c r="F22" s="27">
        <f t="shared" si="2"/>
        <v>0</v>
      </c>
      <c r="G22" s="27">
        <f t="shared" si="2"/>
        <v>0</v>
      </c>
      <c r="H22" s="27">
        <f t="shared" si="2"/>
        <v>0</v>
      </c>
      <c r="I22" s="27">
        <f t="shared" si="2"/>
        <v>0</v>
      </c>
    </row>
    <row r="23" spans="1:9" s="17" customFormat="1">
      <c r="B23" s="27"/>
      <c r="C23" s="27"/>
      <c r="D23" s="27"/>
      <c r="E23" s="27"/>
      <c r="F23" s="27"/>
      <c r="G23" s="27"/>
      <c r="H23" s="27"/>
      <c r="I23" s="27"/>
    </row>
    <row r="24" spans="1:9" s="17" customFormat="1">
      <c r="A24" s="17" t="s">
        <v>59</v>
      </c>
      <c r="B24" s="27">
        <f>SUM(B22:E22)</f>
        <v>0</v>
      </c>
      <c r="C24" s="27">
        <f>SUM(C22:F22)</f>
        <v>0</v>
      </c>
      <c r="D24" s="27">
        <f>SUM(D22:G22)</f>
        <v>0</v>
      </c>
      <c r="E24" s="27">
        <f>SUM(E22:H22)</f>
        <v>0</v>
      </c>
      <c r="F24" s="27">
        <f>SUM(F22:I22)</f>
        <v>0</v>
      </c>
      <c r="G24" s="27"/>
      <c r="H24" s="27"/>
      <c r="I24" s="27"/>
    </row>
    <row r="25" spans="1:9" s="24" customFormat="1">
      <c r="A25" s="19" t="s">
        <v>60</v>
      </c>
      <c r="B25" s="28">
        <v>0</v>
      </c>
      <c r="C25" s="28">
        <v>0</v>
      </c>
      <c r="D25" s="28">
        <v>0</v>
      </c>
      <c r="E25" s="28">
        <v>0</v>
      </c>
      <c r="F25" s="28">
        <v>0</v>
      </c>
      <c r="G25" s="28">
        <v>0</v>
      </c>
      <c r="H25" s="28">
        <v>0</v>
      </c>
      <c r="I25" s="28">
        <v>0</v>
      </c>
    </row>
    <row r="26" spans="1:9" s="24" customFormat="1">
      <c r="A26" s="19" t="s">
        <v>61</v>
      </c>
      <c r="B26" s="29">
        <v>0</v>
      </c>
      <c r="C26" s="29">
        <v>0</v>
      </c>
      <c r="D26" s="29">
        <v>0</v>
      </c>
      <c r="E26" s="29">
        <v>0</v>
      </c>
      <c r="F26" s="29">
        <v>0</v>
      </c>
      <c r="G26" s="30"/>
      <c r="H26" s="30"/>
      <c r="I26" s="30"/>
    </row>
    <row r="27" spans="1:9" s="32" customFormat="1">
      <c r="A27" s="17" t="s">
        <v>62</v>
      </c>
      <c r="B27" s="27">
        <f>SUM(B24:B26)</f>
        <v>0</v>
      </c>
      <c r="C27" s="27">
        <f>SUM(C24:C26)</f>
        <v>0</v>
      </c>
      <c r="D27" s="27">
        <f>SUM(D24:D26)</f>
        <v>0</v>
      </c>
      <c r="E27" s="27">
        <f>SUM(E24:E26)</f>
        <v>0</v>
      </c>
      <c r="F27" s="27">
        <f>SUM(F24:F26)</f>
        <v>0</v>
      </c>
      <c r="G27" s="31"/>
      <c r="H27" s="31"/>
      <c r="I27" s="31"/>
    </row>
    <row r="28" spans="1:9" s="24" customFormat="1"/>
    <row r="29" spans="1:9" s="17" customFormat="1">
      <c r="A29" s="17" t="s">
        <v>58</v>
      </c>
      <c r="B29" s="27">
        <f t="shared" ref="B29:I29" si="3">B22</f>
        <v>0</v>
      </c>
      <c r="C29" s="27">
        <f t="shared" si="3"/>
        <v>0</v>
      </c>
      <c r="D29" s="27">
        <f t="shared" si="3"/>
        <v>0</v>
      </c>
      <c r="E29" s="27">
        <f t="shared" si="3"/>
        <v>0</v>
      </c>
      <c r="F29" s="27">
        <f t="shared" si="3"/>
        <v>0</v>
      </c>
      <c r="G29" s="27">
        <f t="shared" si="3"/>
        <v>0</v>
      </c>
      <c r="H29" s="27">
        <f t="shared" si="3"/>
        <v>0</v>
      </c>
      <c r="I29" s="27">
        <f t="shared" si="3"/>
        <v>0</v>
      </c>
    </row>
    <row r="30" spans="1:9" s="33" customFormat="1">
      <c r="A30" s="20" t="s">
        <v>63</v>
      </c>
      <c r="B30" s="20">
        <v>0</v>
      </c>
      <c r="C30" s="20">
        <v>0</v>
      </c>
      <c r="D30" s="20">
        <v>0</v>
      </c>
      <c r="E30" s="20">
        <v>0</v>
      </c>
      <c r="F30" s="20">
        <v>0</v>
      </c>
      <c r="G30" s="20">
        <v>0</v>
      </c>
      <c r="H30" s="20">
        <v>0</v>
      </c>
      <c r="I30" s="20">
        <v>0</v>
      </c>
    </row>
    <row r="31" spans="1:9" s="33" customFormat="1">
      <c r="A31" s="20" t="s">
        <v>64</v>
      </c>
      <c r="B31" s="20">
        <v>0</v>
      </c>
      <c r="C31" s="20">
        <v>0</v>
      </c>
      <c r="D31" s="20">
        <v>0</v>
      </c>
      <c r="E31" s="20">
        <v>0</v>
      </c>
      <c r="F31" s="20">
        <v>0</v>
      </c>
      <c r="G31" s="20">
        <v>0</v>
      </c>
      <c r="H31" s="20">
        <v>0</v>
      </c>
      <c r="I31" s="20">
        <v>0</v>
      </c>
    </row>
    <row r="32" spans="1:9" s="33" customFormat="1">
      <c r="A32" s="20" t="s">
        <v>65</v>
      </c>
      <c r="B32" s="20">
        <v>0</v>
      </c>
      <c r="C32" s="20">
        <v>0</v>
      </c>
      <c r="D32" s="20">
        <v>0</v>
      </c>
      <c r="E32" s="20">
        <v>0</v>
      </c>
      <c r="F32" s="20">
        <v>0</v>
      </c>
      <c r="G32" s="20">
        <v>0</v>
      </c>
      <c r="H32" s="20">
        <v>0</v>
      </c>
      <c r="I32" s="20">
        <v>0</v>
      </c>
    </row>
    <row r="33" spans="1:9" s="33" customFormat="1">
      <c r="A33" s="20" t="s">
        <v>66</v>
      </c>
      <c r="B33" s="20">
        <v>0</v>
      </c>
      <c r="C33" s="20">
        <v>0</v>
      </c>
      <c r="D33" s="20">
        <v>0</v>
      </c>
      <c r="E33" s="20">
        <v>0</v>
      </c>
      <c r="F33" s="20">
        <v>0</v>
      </c>
      <c r="G33" s="20">
        <v>0</v>
      </c>
      <c r="H33" s="20">
        <v>0</v>
      </c>
      <c r="I33" s="20">
        <v>0</v>
      </c>
    </row>
    <row r="34" spans="1:9" s="33" customFormat="1">
      <c r="A34" s="20" t="s">
        <v>57</v>
      </c>
      <c r="B34" s="29">
        <v>0</v>
      </c>
      <c r="C34" s="29">
        <v>0</v>
      </c>
      <c r="D34" s="29">
        <v>0</v>
      </c>
      <c r="E34" s="29">
        <v>0</v>
      </c>
      <c r="F34" s="29">
        <v>0</v>
      </c>
      <c r="G34" s="29">
        <v>0</v>
      </c>
      <c r="H34" s="29">
        <v>0</v>
      </c>
      <c r="I34" s="29">
        <v>0</v>
      </c>
    </row>
    <row r="35" spans="1:9" s="27" customFormat="1">
      <c r="A35" s="27" t="s">
        <v>67</v>
      </c>
      <c r="B35" s="27">
        <v>0</v>
      </c>
      <c r="C35" s="27">
        <v>0</v>
      </c>
      <c r="D35" s="27">
        <v>0</v>
      </c>
      <c r="E35" s="27">
        <v>0</v>
      </c>
      <c r="F35" s="27">
        <v>0</v>
      </c>
      <c r="G35" s="27">
        <v>0</v>
      </c>
      <c r="H35" s="27">
        <v>0</v>
      </c>
      <c r="I35" s="27">
        <v>0</v>
      </c>
    </row>
    <row r="36" spans="1:9" s="33" customFormat="1">
      <c r="A36" s="20" t="s">
        <v>68</v>
      </c>
      <c r="B36" s="29">
        <v>0</v>
      </c>
      <c r="C36" s="29">
        <v>0</v>
      </c>
      <c r="D36" s="29">
        <v>0</v>
      </c>
      <c r="E36" s="29">
        <v>0</v>
      </c>
      <c r="F36" s="29">
        <v>0</v>
      </c>
      <c r="G36" s="29">
        <v>0</v>
      </c>
      <c r="H36" s="29">
        <v>0</v>
      </c>
      <c r="I36" s="29">
        <v>0</v>
      </c>
    </row>
    <row r="37" spans="1:9" s="27" customFormat="1">
      <c r="A37" s="27" t="s">
        <v>69</v>
      </c>
      <c r="B37" s="27">
        <f>+B35+B36</f>
        <v>0</v>
      </c>
      <c r="C37" s="27">
        <f t="shared" ref="C37:I37" si="4">+C35+C36</f>
        <v>0</v>
      </c>
      <c r="D37" s="27">
        <f t="shared" si="4"/>
        <v>0</v>
      </c>
      <c r="E37" s="27">
        <f t="shared" si="4"/>
        <v>0</v>
      </c>
      <c r="F37" s="27">
        <f t="shared" si="4"/>
        <v>0</v>
      </c>
      <c r="G37" s="27">
        <f t="shared" si="4"/>
        <v>0</v>
      </c>
      <c r="H37" s="27">
        <f t="shared" si="4"/>
        <v>0</v>
      </c>
      <c r="I37" s="27">
        <f t="shared" si="4"/>
        <v>0</v>
      </c>
    </row>
    <row r="39" spans="1:9" s="35" customFormat="1">
      <c r="A39" s="34" t="s">
        <v>70</v>
      </c>
      <c r="B39" s="20">
        <v>0</v>
      </c>
      <c r="C39" s="20"/>
      <c r="D39" s="20"/>
      <c r="E39" s="20"/>
      <c r="F39" s="20"/>
      <c r="G39" s="20"/>
      <c r="H39" s="20"/>
      <c r="I39" s="20"/>
    </row>
    <row r="40" spans="1:9" s="35" customFormat="1">
      <c r="A40" s="34" t="s">
        <v>71</v>
      </c>
      <c r="B40" s="20">
        <v>1680</v>
      </c>
      <c r="C40" s="20"/>
      <c r="D40" s="20"/>
      <c r="E40" s="20"/>
      <c r="F40" s="20"/>
      <c r="G40" s="20"/>
      <c r="H40" s="20"/>
      <c r="I40" s="20"/>
    </row>
    <row r="41" spans="1:9" s="35" customFormat="1">
      <c r="A41" s="34" t="s">
        <v>72</v>
      </c>
      <c r="B41" s="20">
        <f>B39+B40</f>
        <v>1680</v>
      </c>
      <c r="C41" s="20"/>
      <c r="D41" s="20"/>
      <c r="E41" s="20"/>
      <c r="F41" s="20"/>
      <c r="G41" s="20"/>
      <c r="H41" s="20"/>
      <c r="I41" s="20"/>
    </row>
    <row r="42" spans="1:9" s="35" customFormat="1">
      <c r="A42" s="34" t="s">
        <v>73</v>
      </c>
      <c r="B42" s="36">
        <v>4157</v>
      </c>
      <c r="C42" s="36"/>
      <c r="D42" s="36"/>
      <c r="E42" s="36"/>
      <c r="F42" s="36"/>
      <c r="G42" s="36"/>
      <c r="H42" s="36"/>
      <c r="I42" s="36"/>
    </row>
    <row r="43" spans="1:9">
      <c r="B43" s="35"/>
      <c r="C43" s="35"/>
      <c r="D43" s="35"/>
    </row>
    <row r="44" spans="1:9">
      <c r="A44" s="19" t="s">
        <v>74</v>
      </c>
      <c r="B44" s="28">
        <v>25</v>
      </c>
      <c r="C44" s="28"/>
      <c r="D44" s="28"/>
      <c r="E44" s="28"/>
      <c r="F44" s="28"/>
      <c r="G44" s="57"/>
      <c r="H44" s="57"/>
      <c r="I44" s="57"/>
    </row>
    <row r="46" spans="1:9">
      <c r="A46" s="14" t="s">
        <v>75</v>
      </c>
      <c r="B46" s="51">
        <v>1414</v>
      </c>
      <c r="C46" s="33"/>
      <c r="D46" s="33"/>
      <c r="E46" s="33"/>
      <c r="F46" s="33"/>
    </row>
    <row r="47" spans="1:9">
      <c r="A47" s="14" t="s">
        <v>76</v>
      </c>
      <c r="B47" s="51">
        <v>297</v>
      </c>
      <c r="C47" s="33"/>
      <c r="D47" s="33"/>
      <c r="E47" s="33"/>
      <c r="F47" s="33"/>
    </row>
    <row r="48" spans="1:9">
      <c r="A48" s="14" t="s">
        <v>77</v>
      </c>
      <c r="B48" s="33"/>
      <c r="C48" s="33"/>
      <c r="D48" s="33"/>
      <c r="E48" s="33"/>
      <c r="F48" s="33"/>
    </row>
    <row r="50" spans="1:9" s="37" customFormat="1">
      <c r="A50" s="37" t="s">
        <v>78</v>
      </c>
      <c r="B50" s="37">
        <f>+SUM(B39:B40)/B47</f>
        <v>5.6565656565656566</v>
      </c>
    </row>
    <row r="51" spans="1:9" s="37" customFormat="1">
      <c r="A51" s="37" t="s">
        <v>79</v>
      </c>
      <c r="B51" s="37">
        <f>+B41/B47</f>
        <v>5.6565656565656566</v>
      </c>
    </row>
    <row r="52" spans="1:9" s="37" customFormat="1">
      <c r="A52" s="37" t="s">
        <v>80</v>
      </c>
      <c r="B52" s="37">
        <f>+(B41-B44)/B47</f>
        <v>5.5723905723905727</v>
      </c>
    </row>
    <row r="53" spans="1:9" s="38" customFormat="1">
      <c r="A53" s="38" t="s">
        <v>81</v>
      </c>
      <c r="B53" s="38">
        <f>+B48/B41</f>
        <v>0</v>
      </c>
    </row>
    <row r="54" spans="1:9" s="38" customFormat="1">
      <c r="A54" s="39" t="s">
        <v>82</v>
      </c>
      <c r="B54" s="40"/>
      <c r="C54" s="40"/>
      <c r="D54" s="40"/>
      <c r="E54" s="40"/>
      <c r="F54" s="40"/>
      <c r="G54" s="39"/>
      <c r="H54" s="39"/>
      <c r="I54" s="39"/>
    </row>
    <row r="55" spans="1:9" s="38" customFormat="1">
      <c r="A55" s="38" t="s">
        <v>83</v>
      </c>
      <c r="B55" s="41">
        <f>IF(B42=0,IF(B54="","","*"&amp;TEXT(B54,"0.0x")),(B41+B42-B44)/B47)</f>
        <v>19.569023569023567</v>
      </c>
      <c r="C55" s="41"/>
      <c r="D55" s="41"/>
      <c r="E55" s="41"/>
      <c r="F55" s="41"/>
      <c r="G55" s="41" t="str">
        <f>IF(G42=0,IF(G54="","",CONCATENATE("* ",G54,"x")),(G41+G42-G44)/G47)</f>
        <v/>
      </c>
      <c r="H55" s="41" t="str">
        <f>IF(H42=0,IF(H54="","",CONCATENATE("* ",H54,"x")),(H41+H42-H44)/H47)</f>
        <v/>
      </c>
      <c r="I55" s="41" t="str">
        <f>IF(I42=0,IF(I54="","",CONCATENATE("* ",I54,"x")),(I41+I42-I44)/I47)</f>
        <v/>
      </c>
    </row>
    <row r="56" spans="1:9">
      <c r="F56" s="42"/>
    </row>
    <row r="57" spans="1:9" ht="80.25" customHeight="1">
      <c r="A57" s="43" t="s">
        <v>84</v>
      </c>
      <c r="B57" s="44" t="s">
        <v>90</v>
      </c>
      <c r="C57" s="44"/>
      <c r="D57" s="44"/>
      <c r="E57" s="44"/>
      <c r="F57" s="44"/>
      <c r="G57" s="44"/>
      <c r="H57" s="44"/>
      <c r="I57" s="44"/>
    </row>
    <row r="58" spans="1:9">
      <c r="A58" s="45"/>
      <c r="B58" s="42"/>
    </row>
    <row r="59" spans="1:9">
      <c r="A59" s="45"/>
    </row>
  </sheetData>
  <pageMargins left="0.7" right="0.7" top="0.75" bottom="0.75" header="0.3" footer="0.3"/>
  <pageSetup orientation="portrait"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B9FD4-3093-42F0-83E7-DD30A3DFC3DD}">
  <dimension ref="A2:I59"/>
  <sheetViews>
    <sheetView showGridLines="0" zoomScaleNormal="100" workbookViewId="0">
      <pane xSplit="1" ySplit="10" topLeftCell="B11" activePane="bottomRight" state="frozen"/>
      <selection activeCell="B8" sqref="B8"/>
      <selection pane="topRight" activeCell="B8" sqref="B8"/>
      <selection pane="bottomLeft" activeCell="B8" sqref="B8"/>
      <selection pane="bottomRight" activeCell="B11" sqref="B11"/>
    </sheetView>
  </sheetViews>
  <sheetFormatPr defaultColWidth="9.109375" defaultRowHeight="13.8"/>
  <cols>
    <col min="1" max="1" width="22.6640625" style="14" customWidth="1"/>
    <col min="2" max="9" width="10.6640625" style="14" customWidth="1"/>
    <col min="10" max="16384" width="9.109375" style="14"/>
  </cols>
  <sheetData>
    <row r="2" spans="1:9">
      <c r="A2" s="13" t="s">
        <v>44</v>
      </c>
      <c r="B2" s="14" t="s">
        <v>675</v>
      </c>
    </row>
    <row r="3" spans="1:9" s="16" customFormat="1">
      <c r="A3" s="15" t="s">
        <v>45</v>
      </c>
      <c r="B3" s="16" t="s">
        <v>639</v>
      </c>
    </row>
    <row r="4" spans="1:9">
      <c r="A4" s="13" t="s">
        <v>2</v>
      </c>
      <c r="B4" s="14" t="s">
        <v>4</v>
      </c>
    </row>
    <row r="5" spans="1:9">
      <c r="A5" s="13" t="s">
        <v>46</v>
      </c>
    </row>
    <row r="6" spans="1:9">
      <c r="A6" s="13" t="s">
        <v>47</v>
      </c>
      <c r="B6" s="14">
        <v>3</v>
      </c>
    </row>
    <row r="7" spans="1:9">
      <c r="A7" s="13" t="s">
        <v>48</v>
      </c>
      <c r="B7" s="14" t="s">
        <v>596</v>
      </c>
    </row>
    <row r="8" spans="1:9">
      <c r="A8" s="13" t="s">
        <v>347</v>
      </c>
      <c r="B8" s="14" t="s">
        <v>606</v>
      </c>
    </row>
    <row r="9" spans="1:9">
      <c r="A9" s="17"/>
    </row>
    <row r="10" spans="1:9">
      <c r="A10" s="17" t="s">
        <v>49</v>
      </c>
      <c r="B10" s="18">
        <v>44255</v>
      </c>
      <c r="C10" s="18">
        <f>EOMONTH(B10,-3)</f>
        <v>44165</v>
      </c>
      <c r="D10" s="18">
        <f t="shared" ref="D10:I10" si="0">EOMONTH(C10,-3)</f>
        <v>44074</v>
      </c>
      <c r="E10" s="18">
        <f t="shared" si="0"/>
        <v>43982</v>
      </c>
      <c r="F10" s="18">
        <f t="shared" si="0"/>
        <v>43890</v>
      </c>
      <c r="G10" s="18">
        <f t="shared" si="0"/>
        <v>43799</v>
      </c>
      <c r="H10" s="18">
        <f t="shared" si="0"/>
        <v>43708</v>
      </c>
      <c r="I10" s="18">
        <f t="shared" si="0"/>
        <v>43616</v>
      </c>
    </row>
    <row r="12" spans="1:9">
      <c r="A12" s="19" t="s">
        <v>50</v>
      </c>
      <c r="B12" s="20">
        <v>0</v>
      </c>
      <c r="C12" s="20">
        <v>0</v>
      </c>
      <c r="D12" s="20">
        <v>0</v>
      </c>
      <c r="E12" s="20">
        <v>0</v>
      </c>
      <c r="F12" s="20">
        <v>0</v>
      </c>
      <c r="G12" s="20">
        <v>0</v>
      </c>
      <c r="H12" s="20">
        <v>0</v>
      </c>
      <c r="I12" s="20">
        <v>0</v>
      </c>
    </row>
    <row r="13" spans="1:9" s="21" customFormat="1">
      <c r="A13" s="21" t="s">
        <v>51</v>
      </c>
      <c r="B13" s="21" t="e">
        <f>+B12/F12-1</f>
        <v>#DIV/0!</v>
      </c>
      <c r="C13" s="21" t="e">
        <f>+C12/G12-1</f>
        <v>#DIV/0!</v>
      </c>
      <c r="D13" s="21" t="e">
        <f>+D12/H12-1</f>
        <v>#DIV/0!</v>
      </c>
      <c r="E13" s="21" t="e">
        <f>+E12/I12-1</f>
        <v>#DIV/0!</v>
      </c>
    </row>
    <row r="14" spans="1:9" s="24" customFormat="1">
      <c r="A14" s="22" t="s">
        <v>52</v>
      </c>
      <c r="B14" s="23" t="s">
        <v>3</v>
      </c>
      <c r="C14" s="23" t="s">
        <v>3</v>
      </c>
      <c r="D14" s="23" t="s">
        <v>3</v>
      </c>
      <c r="E14" s="23" t="s">
        <v>3</v>
      </c>
      <c r="F14" s="22"/>
      <c r="G14" s="22"/>
      <c r="H14" s="22"/>
      <c r="I14" s="22"/>
    </row>
    <row r="16" spans="1:9" s="17" customFormat="1">
      <c r="A16" s="25" t="s">
        <v>53</v>
      </c>
      <c r="B16" s="26">
        <v>0</v>
      </c>
      <c r="C16" s="26">
        <v>0</v>
      </c>
      <c r="D16" s="26">
        <v>0</v>
      </c>
      <c r="E16" s="26">
        <v>0</v>
      </c>
      <c r="F16" s="26">
        <v>0</v>
      </c>
      <c r="G16" s="26">
        <v>0</v>
      </c>
      <c r="H16" s="26">
        <v>0</v>
      </c>
      <c r="I16" s="26">
        <v>0</v>
      </c>
    </row>
    <row r="17" spans="1:9" s="21" customFormat="1">
      <c r="A17" s="21" t="s">
        <v>54</v>
      </c>
      <c r="B17" s="21" t="e">
        <f>+B16/B12</f>
        <v>#DIV/0!</v>
      </c>
      <c r="C17" s="21" t="e">
        <f t="shared" ref="C17:I17" si="1">+C16/C12</f>
        <v>#DIV/0!</v>
      </c>
      <c r="D17" s="21" t="e">
        <f t="shared" si="1"/>
        <v>#DIV/0!</v>
      </c>
      <c r="E17" s="21" t="e">
        <f t="shared" si="1"/>
        <v>#DIV/0!</v>
      </c>
      <c r="F17" s="21" t="e">
        <f t="shared" si="1"/>
        <v>#DIV/0!</v>
      </c>
      <c r="G17" s="21" t="e">
        <f t="shared" si="1"/>
        <v>#DIV/0!</v>
      </c>
      <c r="H17" s="21" t="e">
        <f t="shared" si="1"/>
        <v>#DIV/0!</v>
      </c>
      <c r="I17" s="21" t="e">
        <f t="shared" si="1"/>
        <v>#DIV/0!</v>
      </c>
    </row>
    <row r="18" spans="1:9" s="24" customFormat="1"/>
    <row r="19" spans="1:9" s="24" customFormat="1">
      <c r="A19" s="19" t="s">
        <v>55</v>
      </c>
      <c r="B19" s="20">
        <v>0</v>
      </c>
      <c r="C19" s="20">
        <v>0</v>
      </c>
      <c r="D19" s="20">
        <v>0</v>
      </c>
      <c r="E19" s="20">
        <v>0</v>
      </c>
      <c r="F19" s="20">
        <v>0</v>
      </c>
      <c r="G19" s="20">
        <v>0</v>
      </c>
      <c r="H19" s="20">
        <v>0</v>
      </c>
      <c r="I19" s="20">
        <v>0</v>
      </c>
    </row>
    <row r="20" spans="1:9" s="24" customFormat="1">
      <c r="A20" s="19" t="s">
        <v>56</v>
      </c>
      <c r="B20" s="20">
        <v>0</v>
      </c>
      <c r="C20" s="20">
        <v>0</v>
      </c>
      <c r="D20" s="20">
        <v>0</v>
      </c>
      <c r="E20" s="20">
        <v>0</v>
      </c>
      <c r="F20" s="20">
        <v>0</v>
      </c>
      <c r="G20" s="20">
        <v>0</v>
      </c>
      <c r="H20" s="20">
        <v>0</v>
      </c>
      <c r="I20" s="20">
        <v>0</v>
      </c>
    </row>
    <row r="21" spans="1:9" s="24" customFormat="1">
      <c r="A21" s="19" t="s">
        <v>57</v>
      </c>
      <c r="B21" s="20">
        <v>0</v>
      </c>
      <c r="C21" s="20">
        <v>0</v>
      </c>
      <c r="D21" s="20">
        <v>0</v>
      </c>
      <c r="E21" s="20">
        <v>0</v>
      </c>
      <c r="F21" s="20">
        <v>0</v>
      </c>
      <c r="G21" s="20">
        <v>0</v>
      </c>
      <c r="H21" s="20">
        <v>0</v>
      </c>
      <c r="I21" s="20">
        <v>0</v>
      </c>
    </row>
    <row r="22" spans="1:9" s="17" customFormat="1">
      <c r="A22" s="17" t="s">
        <v>58</v>
      </c>
      <c r="B22" s="27">
        <f>SUM(B16,B19:B21)</f>
        <v>0</v>
      </c>
      <c r="C22" s="27">
        <f t="shared" ref="C22:I22" si="2">SUM(C16,C19:C21)</f>
        <v>0</v>
      </c>
      <c r="D22" s="27">
        <f t="shared" si="2"/>
        <v>0</v>
      </c>
      <c r="E22" s="27">
        <f t="shared" si="2"/>
        <v>0</v>
      </c>
      <c r="F22" s="27">
        <f t="shared" si="2"/>
        <v>0</v>
      </c>
      <c r="G22" s="27">
        <f t="shared" si="2"/>
        <v>0</v>
      </c>
      <c r="H22" s="27">
        <f t="shared" si="2"/>
        <v>0</v>
      </c>
      <c r="I22" s="27">
        <f t="shared" si="2"/>
        <v>0</v>
      </c>
    </row>
    <row r="23" spans="1:9" s="17" customFormat="1">
      <c r="B23" s="27"/>
      <c r="C23" s="27"/>
      <c r="D23" s="27"/>
      <c r="E23" s="27"/>
      <c r="F23" s="27"/>
      <c r="G23" s="27"/>
      <c r="H23" s="27"/>
      <c r="I23" s="27"/>
    </row>
    <row r="24" spans="1:9" s="17" customFormat="1">
      <c r="A24" s="17" t="s">
        <v>59</v>
      </c>
      <c r="B24" s="27">
        <f>SUM(B22:E22)</f>
        <v>0</v>
      </c>
      <c r="C24" s="27">
        <f>SUM(C22:F22)</f>
        <v>0</v>
      </c>
      <c r="D24" s="27">
        <f>SUM(D22:G22)</f>
        <v>0</v>
      </c>
      <c r="E24" s="27">
        <f>SUM(E22:H22)</f>
        <v>0</v>
      </c>
      <c r="F24" s="27">
        <f>SUM(F22:I22)</f>
        <v>0</v>
      </c>
      <c r="G24" s="27"/>
      <c r="H24" s="27"/>
      <c r="I24" s="27"/>
    </row>
    <row r="25" spans="1:9" s="24" customFormat="1">
      <c r="A25" s="19" t="s">
        <v>60</v>
      </c>
      <c r="B25" s="28">
        <v>0</v>
      </c>
      <c r="C25" s="28">
        <v>0</v>
      </c>
      <c r="D25" s="28">
        <v>0</v>
      </c>
      <c r="E25" s="28">
        <v>0</v>
      </c>
      <c r="F25" s="28">
        <v>0</v>
      </c>
      <c r="G25" s="28">
        <v>0</v>
      </c>
      <c r="H25" s="28">
        <v>0</v>
      </c>
      <c r="I25" s="28">
        <v>0</v>
      </c>
    </row>
    <row r="26" spans="1:9" s="24" customFormat="1">
      <c r="A26" s="19" t="s">
        <v>61</v>
      </c>
      <c r="B26" s="29">
        <v>0</v>
      </c>
      <c r="C26" s="29">
        <v>0</v>
      </c>
      <c r="D26" s="29">
        <v>0</v>
      </c>
      <c r="E26" s="29">
        <v>0</v>
      </c>
      <c r="F26" s="29">
        <v>0</v>
      </c>
      <c r="G26" s="30"/>
      <c r="H26" s="30"/>
      <c r="I26" s="30"/>
    </row>
    <row r="27" spans="1:9" s="32" customFormat="1">
      <c r="A27" s="17" t="s">
        <v>62</v>
      </c>
      <c r="B27" s="27">
        <f>SUM(B24:B26)</f>
        <v>0</v>
      </c>
      <c r="C27" s="27">
        <f>SUM(C24:C26)</f>
        <v>0</v>
      </c>
      <c r="D27" s="27">
        <f>SUM(D24:D26)</f>
        <v>0</v>
      </c>
      <c r="E27" s="27">
        <f>SUM(E24:E26)</f>
        <v>0</v>
      </c>
      <c r="F27" s="27">
        <f>SUM(F24:F26)</f>
        <v>0</v>
      </c>
      <c r="G27" s="31"/>
      <c r="H27" s="31"/>
      <c r="I27" s="31"/>
    </row>
    <row r="28" spans="1:9" s="24" customFormat="1"/>
    <row r="29" spans="1:9" s="17" customFormat="1">
      <c r="A29" s="17" t="s">
        <v>58</v>
      </c>
      <c r="B29" s="27">
        <f t="shared" ref="B29:I29" si="3">B22</f>
        <v>0</v>
      </c>
      <c r="C29" s="27">
        <f t="shared" si="3"/>
        <v>0</v>
      </c>
      <c r="D29" s="27">
        <f t="shared" si="3"/>
        <v>0</v>
      </c>
      <c r="E29" s="27">
        <f t="shared" si="3"/>
        <v>0</v>
      </c>
      <c r="F29" s="27">
        <f t="shared" si="3"/>
        <v>0</v>
      </c>
      <c r="G29" s="27">
        <f t="shared" si="3"/>
        <v>0</v>
      </c>
      <c r="H29" s="27">
        <f t="shared" si="3"/>
        <v>0</v>
      </c>
      <c r="I29" s="27">
        <f t="shared" si="3"/>
        <v>0</v>
      </c>
    </row>
    <row r="30" spans="1:9" s="33" customFormat="1">
      <c r="A30" s="20" t="s">
        <v>63</v>
      </c>
      <c r="B30" s="20">
        <v>0</v>
      </c>
      <c r="C30" s="20">
        <v>0</v>
      </c>
      <c r="D30" s="20">
        <v>0</v>
      </c>
      <c r="E30" s="20">
        <v>0</v>
      </c>
      <c r="F30" s="20">
        <v>0</v>
      </c>
      <c r="G30" s="20">
        <v>0</v>
      </c>
      <c r="H30" s="20">
        <v>0</v>
      </c>
      <c r="I30" s="20">
        <v>0</v>
      </c>
    </row>
    <row r="31" spans="1:9" s="33" customFormat="1">
      <c r="A31" s="20" t="s">
        <v>64</v>
      </c>
      <c r="B31" s="20">
        <v>0</v>
      </c>
      <c r="C31" s="20">
        <v>0</v>
      </c>
      <c r="D31" s="20">
        <v>0</v>
      </c>
      <c r="E31" s="20">
        <v>0</v>
      </c>
      <c r="F31" s="20">
        <v>0</v>
      </c>
      <c r="G31" s="20">
        <v>0</v>
      </c>
      <c r="H31" s="20">
        <v>0</v>
      </c>
      <c r="I31" s="20">
        <v>0</v>
      </c>
    </row>
    <row r="32" spans="1:9" s="33" customFormat="1">
      <c r="A32" s="20" t="s">
        <v>65</v>
      </c>
      <c r="B32" s="20">
        <v>0</v>
      </c>
      <c r="C32" s="20">
        <v>0</v>
      </c>
      <c r="D32" s="20">
        <v>0</v>
      </c>
      <c r="E32" s="20">
        <v>0</v>
      </c>
      <c r="F32" s="20">
        <v>0</v>
      </c>
      <c r="G32" s="20">
        <v>0</v>
      </c>
      <c r="H32" s="20">
        <v>0</v>
      </c>
      <c r="I32" s="20">
        <v>0</v>
      </c>
    </row>
    <row r="33" spans="1:9" s="33" customFormat="1">
      <c r="A33" s="20" t="s">
        <v>66</v>
      </c>
      <c r="B33" s="20">
        <v>0</v>
      </c>
      <c r="C33" s="20">
        <v>0</v>
      </c>
      <c r="D33" s="20">
        <v>0</v>
      </c>
      <c r="E33" s="20">
        <v>0</v>
      </c>
      <c r="F33" s="20">
        <v>0</v>
      </c>
      <c r="G33" s="20">
        <v>0</v>
      </c>
      <c r="H33" s="20">
        <v>0</v>
      </c>
      <c r="I33" s="20">
        <v>0</v>
      </c>
    </row>
    <row r="34" spans="1:9" s="33" customFormat="1">
      <c r="A34" s="20" t="s">
        <v>57</v>
      </c>
      <c r="B34" s="29">
        <v>0</v>
      </c>
      <c r="C34" s="29">
        <v>0</v>
      </c>
      <c r="D34" s="29">
        <v>0</v>
      </c>
      <c r="E34" s="29">
        <v>0</v>
      </c>
      <c r="F34" s="29">
        <v>0</v>
      </c>
      <c r="G34" s="29">
        <v>0</v>
      </c>
      <c r="H34" s="29">
        <v>0</v>
      </c>
      <c r="I34" s="29">
        <v>0</v>
      </c>
    </row>
    <row r="35" spans="1:9" s="27" customFormat="1">
      <c r="A35" s="27" t="s">
        <v>67</v>
      </c>
      <c r="B35" s="27">
        <v>0</v>
      </c>
      <c r="C35" s="27">
        <v>0</v>
      </c>
      <c r="D35" s="27">
        <v>0</v>
      </c>
      <c r="E35" s="27">
        <v>0</v>
      </c>
      <c r="F35" s="27">
        <v>0</v>
      </c>
      <c r="G35" s="27">
        <v>0</v>
      </c>
      <c r="H35" s="27">
        <v>0</v>
      </c>
      <c r="I35" s="27">
        <v>0</v>
      </c>
    </row>
    <row r="36" spans="1:9" s="33" customFormat="1">
      <c r="A36" s="20" t="s">
        <v>68</v>
      </c>
      <c r="B36" s="29">
        <v>0</v>
      </c>
      <c r="C36" s="29">
        <v>0</v>
      </c>
      <c r="D36" s="29">
        <v>0</v>
      </c>
      <c r="E36" s="29">
        <v>0</v>
      </c>
      <c r="F36" s="29">
        <v>0</v>
      </c>
      <c r="G36" s="29">
        <v>0</v>
      </c>
      <c r="H36" s="29">
        <v>0</v>
      </c>
      <c r="I36" s="29">
        <v>0</v>
      </c>
    </row>
    <row r="37" spans="1:9" s="27" customFormat="1">
      <c r="A37" s="27" t="s">
        <v>69</v>
      </c>
      <c r="B37" s="27">
        <f>+B35+B36</f>
        <v>0</v>
      </c>
      <c r="C37" s="27">
        <f t="shared" ref="C37:I37" si="4">+C35+C36</f>
        <v>0</v>
      </c>
      <c r="D37" s="27">
        <f t="shared" si="4"/>
        <v>0</v>
      </c>
      <c r="E37" s="27">
        <f t="shared" si="4"/>
        <v>0</v>
      </c>
      <c r="F37" s="27">
        <f t="shared" si="4"/>
        <v>0</v>
      </c>
      <c r="G37" s="27">
        <f t="shared" si="4"/>
        <v>0</v>
      </c>
      <c r="H37" s="27">
        <f t="shared" si="4"/>
        <v>0</v>
      </c>
      <c r="I37" s="27">
        <f t="shared" si="4"/>
        <v>0</v>
      </c>
    </row>
    <row r="39" spans="1:9" s="35" customFormat="1">
      <c r="A39" s="34" t="s">
        <v>70</v>
      </c>
      <c r="B39" s="20">
        <v>0</v>
      </c>
      <c r="C39" s="20"/>
      <c r="D39" s="20"/>
      <c r="E39" s="20"/>
      <c r="F39" s="20"/>
      <c r="G39" s="20"/>
      <c r="H39" s="20"/>
      <c r="I39" s="20"/>
    </row>
    <row r="40" spans="1:9" s="35" customFormat="1">
      <c r="A40" s="34" t="s">
        <v>71</v>
      </c>
      <c r="B40" s="20">
        <v>675</v>
      </c>
      <c r="C40" s="20"/>
      <c r="D40" s="20"/>
      <c r="E40" s="20"/>
      <c r="F40" s="20"/>
      <c r="G40" s="20"/>
      <c r="H40" s="20"/>
      <c r="I40" s="20"/>
    </row>
    <row r="41" spans="1:9" s="35" customFormat="1">
      <c r="A41" s="34" t="s">
        <v>72</v>
      </c>
      <c r="B41" s="20">
        <f>B39+B40+205</f>
        <v>880</v>
      </c>
      <c r="C41" s="20"/>
      <c r="D41" s="20"/>
      <c r="E41" s="20"/>
      <c r="F41" s="20"/>
      <c r="G41" s="20"/>
      <c r="H41" s="20"/>
      <c r="I41" s="20"/>
    </row>
    <row r="42" spans="1:9" s="35" customFormat="1">
      <c r="A42" s="34" t="s">
        <v>73</v>
      </c>
      <c r="B42" s="36">
        <v>875</v>
      </c>
      <c r="C42" s="36"/>
      <c r="D42" s="36"/>
      <c r="E42" s="36"/>
      <c r="F42" s="36"/>
      <c r="G42" s="36"/>
      <c r="H42" s="36"/>
      <c r="I42" s="36"/>
    </row>
    <row r="43" spans="1:9">
      <c r="B43" s="35"/>
      <c r="C43" s="35"/>
      <c r="D43" s="35"/>
    </row>
    <row r="44" spans="1:9">
      <c r="A44" s="19" t="s">
        <v>74</v>
      </c>
      <c r="B44" s="28">
        <v>0</v>
      </c>
      <c r="C44" s="28"/>
      <c r="D44" s="28"/>
      <c r="E44" s="28"/>
      <c r="F44" s="28"/>
      <c r="G44" s="57"/>
      <c r="H44" s="57"/>
      <c r="I44" s="57"/>
    </row>
    <row r="46" spans="1:9">
      <c r="A46" s="14" t="s">
        <v>75</v>
      </c>
      <c r="B46" s="51">
        <v>768</v>
      </c>
      <c r="C46" s="33"/>
      <c r="D46" s="33"/>
      <c r="E46" s="33"/>
      <c r="F46" s="33"/>
    </row>
    <row r="47" spans="1:9">
      <c r="A47" s="14" t="s">
        <v>76</v>
      </c>
      <c r="B47" s="51">
        <v>133</v>
      </c>
      <c r="C47" s="33"/>
      <c r="D47" s="33"/>
      <c r="E47" s="33"/>
      <c r="F47" s="33"/>
    </row>
    <row r="48" spans="1:9">
      <c r="A48" s="14" t="s">
        <v>77</v>
      </c>
      <c r="B48" s="51">
        <v>35.25523242300001</v>
      </c>
      <c r="C48" s="33"/>
      <c r="D48" s="33"/>
      <c r="E48" s="33"/>
      <c r="F48" s="33"/>
    </row>
    <row r="50" spans="1:9" s="37" customFormat="1">
      <c r="A50" s="37" t="s">
        <v>78</v>
      </c>
      <c r="B50" s="37">
        <f>+SUM(B39:B40)/B47</f>
        <v>5.0751879699248121</v>
      </c>
    </row>
    <row r="51" spans="1:9" s="37" customFormat="1">
      <c r="A51" s="37" t="s">
        <v>79</v>
      </c>
      <c r="B51" s="37">
        <f>+B41/B47</f>
        <v>6.6165413533834583</v>
      </c>
    </row>
    <row r="52" spans="1:9" s="37" customFormat="1">
      <c r="A52" s="37" t="s">
        <v>80</v>
      </c>
      <c r="B52" s="37">
        <f>+(B41-B44)/B47</f>
        <v>6.6165413533834583</v>
      </c>
    </row>
    <row r="53" spans="1:9" s="38" customFormat="1">
      <c r="A53" s="38" t="s">
        <v>81</v>
      </c>
      <c r="B53" s="38">
        <f>+B48/B41</f>
        <v>4.0062764117045464E-2</v>
      </c>
    </row>
    <row r="54" spans="1:9" s="38" customFormat="1">
      <c r="A54" s="39" t="s">
        <v>82</v>
      </c>
      <c r="B54" s="40"/>
      <c r="C54" s="40"/>
      <c r="D54" s="40"/>
      <c r="E54" s="40"/>
      <c r="F54" s="40"/>
      <c r="G54" s="39"/>
      <c r="H54" s="39"/>
      <c r="I54" s="39"/>
    </row>
    <row r="55" spans="1:9" s="38" customFormat="1">
      <c r="A55" s="38" t="s">
        <v>83</v>
      </c>
      <c r="B55" s="41">
        <f>IF(B42=0,IF(B54="","","*"&amp;TEXT(B54,"0.0x")),(B41+B42-B44)/B47)</f>
        <v>13.19548872180451</v>
      </c>
      <c r="C55" s="41"/>
      <c r="D55" s="41"/>
      <c r="E55" s="41"/>
      <c r="F55" s="41"/>
      <c r="G55" s="41" t="str">
        <f>IF(G42=0,IF(G54="","",CONCATENATE("* ",G54,"x")),(G41+G42-G44)/G47)</f>
        <v/>
      </c>
      <c r="H55" s="41" t="str">
        <f>IF(H42=0,IF(H54="","",CONCATENATE("* ",H54,"x")),(H41+H42-H44)/H47)</f>
        <v/>
      </c>
      <c r="I55" s="41" t="str">
        <f>IF(I42=0,IF(I54="","",CONCATENATE("* ",I54,"x")),(I41+I42-I44)/I47)</f>
        <v/>
      </c>
    </row>
    <row r="56" spans="1:9">
      <c r="F56" s="42"/>
    </row>
    <row r="57" spans="1:9" ht="80.25" customHeight="1">
      <c r="A57" s="43" t="s">
        <v>84</v>
      </c>
      <c r="B57" s="44" t="s">
        <v>90</v>
      </c>
      <c r="C57" s="44"/>
      <c r="D57" s="44"/>
      <c r="E57" s="44"/>
      <c r="F57" s="44"/>
      <c r="G57" s="44"/>
      <c r="H57" s="44"/>
      <c r="I57" s="44"/>
    </row>
    <row r="58" spans="1:9">
      <c r="A58" s="45"/>
      <c r="B58" s="42"/>
    </row>
    <row r="59" spans="1:9">
      <c r="A59" s="45"/>
    </row>
  </sheetData>
  <pageMargins left="0.7" right="0.7" top="0.75" bottom="0.75" header="0.3" footer="0.3"/>
  <pageSetup orientation="portrait"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2:I59"/>
  <sheetViews>
    <sheetView showGridLines="0" zoomScaleNormal="100" workbookViewId="0">
      <pane xSplit="1" ySplit="10" topLeftCell="B11" activePane="bottomRight" state="frozen"/>
      <selection activeCell="B8" sqref="B8"/>
      <selection pane="topRight" activeCell="B8" sqref="B8"/>
      <selection pane="bottomLeft" activeCell="B8" sqref="B8"/>
      <selection pane="bottomRight" activeCell="B11" sqref="B11"/>
    </sheetView>
  </sheetViews>
  <sheetFormatPr defaultColWidth="9.109375" defaultRowHeight="13.8"/>
  <cols>
    <col min="1" max="1" width="22.6640625" style="14" customWidth="1"/>
    <col min="2" max="9" width="10.6640625" style="14" customWidth="1"/>
    <col min="10" max="16384" width="9.109375" style="14"/>
  </cols>
  <sheetData>
    <row r="2" spans="1:9">
      <c r="A2" s="13" t="s">
        <v>44</v>
      </c>
      <c r="B2" s="14" t="s">
        <v>640</v>
      </c>
    </row>
    <row r="3" spans="1:9" s="16" customFormat="1">
      <c r="A3" s="15" t="s">
        <v>45</v>
      </c>
      <c r="B3" s="16" t="s">
        <v>641</v>
      </c>
    </row>
    <row r="4" spans="1:9">
      <c r="A4" s="13" t="s">
        <v>2</v>
      </c>
      <c r="B4" s="14" t="s">
        <v>4</v>
      </c>
    </row>
    <row r="5" spans="1:9">
      <c r="A5" s="13" t="s">
        <v>46</v>
      </c>
    </row>
    <row r="6" spans="1:9">
      <c r="A6" s="13" t="s">
        <v>47</v>
      </c>
      <c r="B6" s="14">
        <v>3</v>
      </c>
    </row>
    <row r="7" spans="1:9">
      <c r="A7" s="13" t="s">
        <v>48</v>
      </c>
      <c r="B7" s="14" t="s">
        <v>642</v>
      </c>
    </row>
    <row r="8" spans="1:9">
      <c r="A8" s="13" t="s">
        <v>347</v>
      </c>
      <c r="B8" s="14" t="s">
        <v>361</v>
      </c>
    </row>
    <row r="9" spans="1:9">
      <c r="A9" s="17"/>
    </row>
    <row r="10" spans="1:9">
      <c r="A10" s="17" t="s">
        <v>49</v>
      </c>
      <c r="B10" s="18">
        <v>44286</v>
      </c>
      <c r="C10" s="18">
        <f>EOMONTH(B10,-3)</f>
        <v>44196</v>
      </c>
      <c r="D10" s="18">
        <f t="shared" ref="D10:I10" si="0">EOMONTH(C10,-3)</f>
        <v>44104</v>
      </c>
      <c r="E10" s="18">
        <f t="shared" si="0"/>
        <v>44012</v>
      </c>
      <c r="F10" s="18">
        <f t="shared" si="0"/>
        <v>43921</v>
      </c>
      <c r="G10" s="18">
        <f t="shared" si="0"/>
        <v>43830</v>
      </c>
      <c r="H10" s="18">
        <f t="shared" si="0"/>
        <v>43738</v>
      </c>
      <c r="I10" s="18">
        <f t="shared" si="0"/>
        <v>43646</v>
      </c>
    </row>
    <row r="12" spans="1:9">
      <c r="A12" s="19" t="s">
        <v>50</v>
      </c>
      <c r="B12" s="20">
        <v>0</v>
      </c>
      <c r="C12" s="20">
        <v>0</v>
      </c>
      <c r="D12" s="20">
        <v>0</v>
      </c>
      <c r="E12" s="20">
        <v>0</v>
      </c>
      <c r="F12" s="20">
        <v>0</v>
      </c>
      <c r="G12" s="20">
        <v>0</v>
      </c>
      <c r="H12" s="20">
        <v>0</v>
      </c>
      <c r="I12" s="20">
        <v>0</v>
      </c>
    </row>
    <row r="13" spans="1:9" s="21" customFormat="1">
      <c r="A13" s="21" t="s">
        <v>51</v>
      </c>
      <c r="B13" s="21" t="e">
        <f>+B12/F12-1</f>
        <v>#DIV/0!</v>
      </c>
      <c r="C13" s="21" t="e">
        <f>+C12/G12-1</f>
        <v>#DIV/0!</v>
      </c>
      <c r="D13" s="21" t="e">
        <f>+D12/H12-1</f>
        <v>#DIV/0!</v>
      </c>
      <c r="E13" s="21" t="e">
        <f>+E12/I12-1</f>
        <v>#DIV/0!</v>
      </c>
    </row>
    <row r="14" spans="1:9" s="24" customFormat="1">
      <c r="A14" s="22" t="s">
        <v>52</v>
      </c>
      <c r="B14" s="23" t="s">
        <v>3</v>
      </c>
      <c r="C14" s="23" t="s">
        <v>3</v>
      </c>
      <c r="D14" s="23" t="s">
        <v>3</v>
      </c>
      <c r="E14" s="23" t="s">
        <v>3</v>
      </c>
      <c r="F14" s="22"/>
      <c r="G14" s="22"/>
      <c r="H14" s="22"/>
      <c r="I14" s="22"/>
    </row>
    <row r="16" spans="1:9" s="17" customFormat="1">
      <c r="A16" s="25" t="s">
        <v>53</v>
      </c>
      <c r="B16" s="26">
        <v>0</v>
      </c>
      <c r="C16" s="26">
        <v>0</v>
      </c>
      <c r="D16" s="26">
        <v>0</v>
      </c>
      <c r="E16" s="26">
        <v>0</v>
      </c>
      <c r="F16" s="26">
        <v>0</v>
      </c>
      <c r="G16" s="26">
        <v>0</v>
      </c>
      <c r="H16" s="26">
        <v>0</v>
      </c>
      <c r="I16" s="26">
        <v>0</v>
      </c>
    </row>
    <row r="17" spans="1:9" s="21" customFormat="1">
      <c r="A17" s="21" t="s">
        <v>54</v>
      </c>
      <c r="B17" s="21" t="e">
        <f>+B16/B12</f>
        <v>#DIV/0!</v>
      </c>
      <c r="C17" s="21" t="e">
        <f t="shared" ref="C17:I17" si="1">+C16/C12</f>
        <v>#DIV/0!</v>
      </c>
      <c r="D17" s="21" t="e">
        <f t="shared" si="1"/>
        <v>#DIV/0!</v>
      </c>
      <c r="E17" s="21" t="e">
        <f t="shared" si="1"/>
        <v>#DIV/0!</v>
      </c>
      <c r="F17" s="21" t="e">
        <f t="shared" si="1"/>
        <v>#DIV/0!</v>
      </c>
      <c r="G17" s="21" t="e">
        <f t="shared" si="1"/>
        <v>#DIV/0!</v>
      </c>
      <c r="H17" s="21" t="e">
        <f t="shared" si="1"/>
        <v>#DIV/0!</v>
      </c>
      <c r="I17" s="21" t="e">
        <f t="shared" si="1"/>
        <v>#DIV/0!</v>
      </c>
    </row>
    <row r="18" spans="1:9" s="24" customFormat="1"/>
    <row r="19" spans="1:9" s="24" customFormat="1">
      <c r="A19" s="19" t="s">
        <v>55</v>
      </c>
      <c r="B19" s="20">
        <v>0</v>
      </c>
      <c r="C19" s="20">
        <v>0</v>
      </c>
      <c r="D19" s="20">
        <v>0</v>
      </c>
      <c r="E19" s="20">
        <v>0</v>
      </c>
      <c r="F19" s="20">
        <v>0</v>
      </c>
      <c r="G19" s="20">
        <v>0</v>
      </c>
      <c r="H19" s="20">
        <v>0</v>
      </c>
      <c r="I19" s="20">
        <v>0</v>
      </c>
    </row>
    <row r="20" spans="1:9" s="24" customFormat="1">
      <c r="A20" s="19" t="s">
        <v>56</v>
      </c>
      <c r="B20" s="20">
        <v>0</v>
      </c>
      <c r="C20" s="20">
        <v>0</v>
      </c>
      <c r="D20" s="20">
        <v>0</v>
      </c>
      <c r="E20" s="20">
        <v>0</v>
      </c>
      <c r="F20" s="20">
        <v>0</v>
      </c>
      <c r="G20" s="20">
        <v>0</v>
      </c>
      <c r="H20" s="20">
        <v>0</v>
      </c>
      <c r="I20" s="20">
        <v>0</v>
      </c>
    </row>
    <row r="21" spans="1:9" s="24" customFormat="1">
      <c r="A21" s="19" t="s">
        <v>57</v>
      </c>
      <c r="B21" s="20">
        <v>0</v>
      </c>
      <c r="C21" s="20">
        <v>0</v>
      </c>
      <c r="D21" s="20">
        <v>0</v>
      </c>
      <c r="E21" s="20">
        <v>0</v>
      </c>
      <c r="F21" s="20">
        <v>0</v>
      </c>
      <c r="G21" s="20">
        <v>0</v>
      </c>
      <c r="H21" s="20">
        <v>0</v>
      </c>
      <c r="I21" s="20">
        <v>0</v>
      </c>
    </row>
    <row r="22" spans="1:9" s="17" customFormat="1">
      <c r="A22" s="17" t="s">
        <v>58</v>
      </c>
      <c r="B22" s="27">
        <f>SUM(B16,B19:B21)</f>
        <v>0</v>
      </c>
      <c r="C22" s="27">
        <f t="shared" ref="C22:I22" si="2">SUM(C16,C19:C21)</f>
        <v>0</v>
      </c>
      <c r="D22" s="27">
        <f t="shared" si="2"/>
        <v>0</v>
      </c>
      <c r="E22" s="27">
        <f t="shared" si="2"/>
        <v>0</v>
      </c>
      <c r="F22" s="27">
        <f t="shared" si="2"/>
        <v>0</v>
      </c>
      <c r="G22" s="27">
        <f t="shared" si="2"/>
        <v>0</v>
      </c>
      <c r="H22" s="27">
        <f t="shared" si="2"/>
        <v>0</v>
      </c>
      <c r="I22" s="27">
        <f t="shared" si="2"/>
        <v>0</v>
      </c>
    </row>
    <row r="23" spans="1:9" s="17" customFormat="1">
      <c r="B23" s="27"/>
      <c r="C23" s="27"/>
      <c r="D23" s="27"/>
      <c r="E23" s="27"/>
      <c r="F23" s="27"/>
      <c r="G23" s="27"/>
      <c r="H23" s="27"/>
      <c r="I23" s="27"/>
    </row>
    <row r="24" spans="1:9" s="17" customFormat="1">
      <c r="A24" s="17" t="s">
        <v>59</v>
      </c>
      <c r="B24" s="27">
        <f>SUM(B22:E22)</f>
        <v>0</v>
      </c>
      <c r="C24" s="27">
        <f>SUM(C22:F22)</f>
        <v>0</v>
      </c>
      <c r="D24" s="27">
        <f>SUM(D22:G22)</f>
        <v>0</v>
      </c>
      <c r="E24" s="27">
        <f>SUM(E22:H22)</f>
        <v>0</v>
      </c>
      <c r="F24" s="27">
        <f>SUM(F22:I22)</f>
        <v>0</v>
      </c>
      <c r="G24" s="27"/>
      <c r="H24" s="27"/>
      <c r="I24" s="27"/>
    </row>
    <row r="25" spans="1:9" s="24" customFormat="1">
      <c r="A25" s="19" t="s">
        <v>60</v>
      </c>
      <c r="B25" s="28">
        <v>0</v>
      </c>
      <c r="C25" s="28">
        <v>0</v>
      </c>
      <c r="D25" s="28">
        <v>0</v>
      </c>
      <c r="E25" s="28">
        <v>0</v>
      </c>
      <c r="F25" s="28">
        <v>0</v>
      </c>
      <c r="G25" s="28">
        <v>0</v>
      </c>
      <c r="H25" s="28">
        <v>0</v>
      </c>
      <c r="I25" s="28">
        <v>0</v>
      </c>
    </row>
    <row r="26" spans="1:9" s="24" customFormat="1">
      <c r="A26" s="19" t="s">
        <v>61</v>
      </c>
      <c r="B26" s="29">
        <v>0</v>
      </c>
      <c r="C26" s="29">
        <v>0</v>
      </c>
      <c r="D26" s="29">
        <v>0</v>
      </c>
      <c r="E26" s="29">
        <v>0</v>
      </c>
      <c r="F26" s="29">
        <v>0</v>
      </c>
      <c r="G26" s="30"/>
      <c r="H26" s="30"/>
      <c r="I26" s="30"/>
    </row>
    <row r="27" spans="1:9" s="32" customFormat="1">
      <c r="A27" s="17" t="s">
        <v>62</v>
      </c>
      <c r="B27" s="27">
        <f>SUM(B24:B26)</f>
        <v>0</v>
      </c>
      <c r="C27" s="27">
        <f>SUM(C24:C26)</f>
        <v>0</v>
      </c>
      <c r="D27" s="27">
        <f>SUM(D24:D26)</f>
        <v>0</v>
      </c>
      <c r="E27" s="27">
        <f>SUM(E24:E26)</f>
        <v>0</v>
      </c>
      <c r="F27" s="27">
        <f>SUM(F24:F26)</f>
        <v>0</v>
      </c>
      <c r="G27" s="31"/>
      <c r="H27" s="31"/>
      <c r="I27" s="31"/>
    </row>
    <row r="28" spans="1:9" s="24" customFormat="1"/>
    <row r="29" spans="1:9" s="17" customFormat="1">
      <c r="A29" s="17" t="s">
        <v>58</v>
      </c>
      <c r="B29" s="27">
        <f t="shared" ref="B29:I29" si="3">B22</f>
        <v>0</v>
      </c>
      <c r="C29" s="27">
        <f t="shared" si="3"/>
        <v>0</v>
      </c>
      <c r="D29" s="27">
        <f t="shared" si="3"/>
        <v>0</v>
      </c>
      <c r="E29" s="27">
        <f t="shared" si="3"/>
        <v>0</v>
      </c>
      <c r="F29" s="27">
        <f t="shared" si="3"/>
        <v>0</v>
      </c>
      <c r="G29" s="27">
        <f t="shared" si="3"/>
        <v>0</v>
      </c>
      <c r="H29" s="27">
        <f t="shared" si="3"/>
        <v>0</v>
      </c>
      <c r="I29" s="27">
        <f t="shared" si="3"/>
        <v>0</v>
      </c>
    </row>
    <row r="30" spans="1:9" s="33" customFormat="1">
      <c r="A30" s="20" t="s">
        <v>63</v>
      </c>
      <c r="B30" s="20">
        <v>0</v>
      </c>
      <c r="C30" s="20">
        <v>0</v>
      </c>
      <c r="D30" s="20">
        <v>0</v>
      </c>
      <c r="E30" s="20">
        <v>0</v>
      </c>
      <c r="F30" s="20">
        <v>0</v>
      </c>
      <c r="G30" s="20">
        <v>0</v>
      </c>
      <c r="H30" s="20">
        <v>0</v>
      </c>
      <c r="I30" s="20">
        <v>0</v>
      </c>
    </row>
    <row r="31" spans="1:9" s="33" customFormat="1">
      <c r="A31" s="20" t="s">
        <v>64</v>
      </c>
      <c r="B31" s="20">
        <v>0</v>
      </c>
      <c r="C31" s="20">
        <v>0</v>
      </c>
      <c r="D31" s="20">
        <v>0</v>
      </c>
      <c r="E31" s="20">
        <v>0</v>
      </c>
      <c r="F31" s="20">
        <v>0</v>
      </c>
      <c r="G31" s="20">
        <v>0</v>
      </c>
      <c r="H31" s="20">
        <v>0</v>
      </c>
      <c r="I31" s="20">
        <v>0</v>
      </c>
    </row>
    <row r="32" spans="1:9" s="33" customFormat="1">
      <c r="A32" s="20" t="s">
        <v>65</v>
      </c>
      <c r="B32" s="20">
        <v>0</v>
      </c>
      <c r="C32" s="20">
        <v>0</v>
      </c>
      <c r="D32" s="20">
        <v>0</v>
      </c>
      <c r="E32" s="20">
        <v>0</v>
      </c>
      <c r="F32" s="20">
        <v>0</v>
      </c>
      <c r="G32" s="20">
        <v>0</v>
      </c>
      <c r="H32" s="20">
        <v>0</v>
      </c>
      <c r="I32" s="20">
        <v>0</v>
      </c>
    </row>
    <row r="33" spans="1:9" s="33" customFormat="1">
      <c r="A33" s="20" t="s">
        <v>66</v>
      </c>
      <c r="B33" s="20">
        <v>0</v>
      </c>
      <c r="C33" s="20">
        <v>0</v>
      </c>
      <c r="D33" s="20">
        <v>0</v>
      </c>
      <c r="E33" s="20">
        <v>0</v>
      </c>
      <c r="F33" s="20">
        <v>0</v>
      </c>
      <c r="G33" s="20">
        <v>0</v>
      </c>
      <c r="H33" s="20">
        <v>0</v>
      </c>
      <c r="I33" s="20">
        <v>0</v>
      </c>
    </row>
    <row r="34" spans="1:9" s="33" customFormat="1">
      <c r="A34" s="20" t="s">
        <v>57</v>
      </c>
      <c r="B34" s="29">
        <v>0</v>
      </c>
      <c r="C34" s="29">
        <v>0</v>
      </c>
      <c r="D34" s="29">
        <v>0</v>
      </c>
      <c r="E34" s="29">
        <v>0</v>
      </c>
      <c r="F34" s="29">
        <v>0</v>
      </c>
      <c r="G34" s="29">
        <v>0</v>
      </c>
      <c r="H34" s="29">
        <v>0</v>
      </c>
      <c r="I34" s="29">
        <v>0</v>
      </c>
    </row>
    <row r="35" spans="1:9" s="27" customFormat="1">
      <c r="A35" s="27" t="s">
        <v>67</v>
      </c>
      <c r="B35" s="27">
        <v>0</v>
      </c>
      <c r="C35" s="27">
        <v>0</v>
      </c>
      <c r="D35" s="27">
        <v>0</v>
      </c>
      <c r="E35" s="27">
        <v>0</v>
      </c>
      <c r="F35" s="27">
        <v>0</v>
      </c>
      <c r="G35" s="27">
        <v>0</v>
      </c>
      <c r="H35" s="27">
        <v>0</v>
      </c>
      <c r="I35" s="27">
        <v>0</v>
      </c>
    </row>
    <row r="36" spans="1:9" s="33" customFormat="1">
      <c r="A36" s="20" t="s">
        <v>68</v>
      </c>
      <c r="B36" s="29">
        <v>0</v>
      </c>
      <c r="C36" s="29">
        <v>0</v>
      </c>
      <c r="D36" s="29">
        <v>0</v>
      </c>
      <c r="E36" s="29">
        <v>0</v>
      </c>
      <c r="F36" s="29">
        <v>0</v>
      </c>
      <c r="G36" s="29">
        <v>0</v>
      </c>
      <c r="H36" s="29">
        <v>0</v>
      </c>
      <c r="I36" s="29">
        <v>0</v>
      </c>
    </row>
    <row r="37" spans="1:9" s="27" customFormat="1">
      <c r="A37" s="27" t="s">
        <v>69</v>
      </c>
      <c r="B37" s="27">
        <f>+B35+B36</f>
        <v>0</v>
      </c>
      <c r="C37" s="27">
        <f t="shared" ref="C37:I37" si="4">+C35+C36</f>
        <v>0</v>
      </c>
      <c r="D37" s="27">
        <f t="shared" si="4"/>
        <v>0</v>
      </c>
      <c r="E37" s="27">
        <f t="shared" si="4"/>
        <v>0</v>
      </c>
      <c r="F37" s="27">
        <f t="shared" si="4"/>
        <v>0</v>
      </c>
      <c r="G37" s="27">
        <f t="shared" si="4"/>
        <v>0</v>
      </c>
      <c r="H37" s="27">
        <f t="shared" si="4"/>
        <v>0</v>
      </c>
      <c r="I37" s="27">
        <f t="shared" si="4"/>
        <v>0</v>
      </c>
    </row>
    <row r="39" spans="1:9" s="35" customFormat="1">
      <c r="A39" s="34" t="s">
        <v>70</v>
      </c>
      <c r="B39" s="20">
        <v>0</v>
      </c>
      <c r="C39" s="20"/>
      <c r="D39" s="20"/>
      <c r="E39" s="20"/>
      <c r="F39" s="20"/>
      <c r="G39" s="20"/>
      <c r="H39" s="20"/>
      <c r="I39" s="20"/>
    </row>
    <row r="40" spans="1:9" s="35" customFormat="1">
      <c r="A40" s="34" t="s">
        <v>71</v>
      </c>
      <c r="B40" s="20">
        <f>1400+70</f>
        <v>1470</v>
      </c>
      <c r="C40" s="20"/>
      <c r="D40" s="20"/>
      <c r="E40" s="20"/>
      <c r="F40" s="20"/>
      <c r="G40" s="20"/>
      <c r="H40" s="20"/>
      <c r="I40" s="20"/>
    </row>
    <row r="41" spans="1:9" s="35" customFormat="1">
      <c r="A41" s="34" t="s">
        <v>72</v>
      </c>
      <c r="B41" s="20">
        <f>B39+B40+500</f>
        <v>1970</v>
      </c>
      <c r="C41" s="20"/>
      <c r="D41" s="20"/>
      <c r="E41" s="20"/>
      <c r="F41" s="20"/>
      <c r="G41" s="20"/>
      <c r="H41" s="20"/>
      <c r="I41" s="20"/>
    </row>
    <row r="42" spans="1:9" s="35" customFormat="1">
      <c r="A42" s="34" t="s">
        <v>73</v>
      </c>
      <c r="B42" s="36">
        <v>764</v>
      </c>
      <c r="C42" s="36"/>
      <c r="D42" s="36"/>
      <c r="E42" s="36"/>
      <c r="F42" s="36"/>
      <c r="G42" s="36"/>
      <c r="H42" s="36"/>
      <c r="I42" s="36"/>
    </row>
    <row r="43" spans="1:9">
      <c r="B43" s="35"/>
      <c r="C43" s="35"/>
      <c r="D43" s="35"/>
    </row>
    <row r="44" spans="1:9">
      <c r="A44" s="19" t="s">
        <v>74</v>
      </c>
      <c r="B44" s="28">
        <v>9</v>
      </c>
      <c r="C44" s="28"/>
      <c r="D44" s="28"/>
      <c r="E44" s="28"/>
      <c r="F44" s="28"/>
      <c r="G44" s="57"/>
      <c r="H44" s="57"/>
      <c r="I44" s="57"/>
    </row>
    <row r="46" spans="1:9">
      <c r="A46" s="14" t="s">
        <v>75</v>
      </c>
      <c r="B46" s="51">
        <v>1779</v>
      </c>
      <c r="C46" s="33"/>
      <c r="D46" s="33"/>
      <c r="E46" s="33"/>
      <c r="F46" s="33"/>
    </row>
    <row r="47" spans="1:9">
      <c r="A47" s="14" t="s">
        <v>76</v>
      </c>
      <c r="B47" s="51">
        <v>319</v>
      </c>
      <c r="C47" s="33"/>
      <c r="D47" s="33"/>
      <c r="E47" s="33"/>
      <c r="F47" s="33"/>
    </row>
    <row r="48" spans="1:9">
      <c r="A48" s="14" t="s">
        <v>77</v>
      </c>
      <c r="B48" s="51">
        <v>191.304</v>
      </c>
      <c r="C48" s="33"/>
      <c r="D48" s="33"/>
      <c r="E48" s="33"/>
      <c r="F48" s="33"/>
    </row>
    <row r="50" spans="1:9" s="37" customFormat="1">
      <c r="A50" s="37" t="s">
        <v>78</v>
      </c>
      <c r="B50" s="37">
        <f>+SUM(B39:B40)/B47</f>
        <v>4.608150470219436</v>
      </c>
    </row>
    <row r="51" spans="1:9" s="37" customFormat="1">
      <c r="A51" s="37" t="s">
        <v>79</v>
      </c>
      <c r="B51" s="37">
        <f>+B41/B47</f>
        <v>6.1755485893416928</v>
      </c>
    </row>
    <row r="52" spans="1:9" s="37" customFormat="1">
      <c r="A52" s="37" t="s">
        <v>80</v>
      </c>
      <c r="B52" s="37">
        <f>+(B41-B44)/B47</f>
        <v>6.1473354231974922</v>
      </c>
    </row>
    <row r="53" spans="1:9" s="38" customFormat="1">
      <c r="A53" s="38" t="s">
        <v>81</v>
      </c>
      <c r="B53" s="38">
        <f>+B48/B41</f>
        <v>9.7108629441624364E-2</v>
      </c>
    </row>
    <row r="54" spans="1:9" s="38" customFormat="1">
      <c r="A54" s="39" t="s">
        <v>82</v>
      </c>
      <c r="B54" s="40"/>
      <c r="C54" s="40"/>
      <c r="D54" s="40"/>
      <c r="E54" s="40"/>
      <c r="F54" s="40"/>
      <c r="G54" s="39"/>
      <c r="H54" s="39"/>
      <c r="I54" s="39"/>
    </row>
    <row r="55" spans="1:9" s="38" customFormat="1">
      <c r="A55" s="38" t="s">
        <v>83</v>
      </c>
      <c r="B55" s="41">
        <f>IF(B42=0,IF(B54="","","*"&amp;TEXT(B54,"0.0x")),(B41+B42-B44)/B47)</f>
        <v>8.5423197492163006</v>
      </c>
      <c r="C55" s="41"/>
      <c r="D55" s="41"/>
      <c r="E55" s="41"/>
      <c r="F55" s="41"/>
      <c r="G55" s="41"/>
      <c r="H55" s="41" t="str">
        <f>IF(H42=0,IF(H54="","",CONCATENATE("* ",H54,"x")),(H41+H42-H44)/H47)</f>
        <v/>
      </c>
      <c r="I55" s="41" t="str">
        <f>IF(I42=0,IF(I54="","",CONCATENATE("* ",I54,"x")),(I41+I42-I44)/I47)</f>
        <v/>
      </c>
    </row>
    <row r="56" spans="1:9">
      <c r="F56" s="42"/>
    </row>
    <row r="57" spans="1:9" ht="80.25" customHeight="1">
      <c r="A57" s="43" t="s">
        <v>84</v>
      </c>
      <c r="B57" s="44" t="s">
        <v>90</v>
      </c>
      <c r="C57" s="44"/>
      <c r="D57" s="44"/>
      <c r="E57" s="44"/>
      <c r="F57" s="44"/>
      <c r="G57" s="44"/>
      <c r="H57" s="44"/>
      <c r="I57" s="44"/>
    </row>
    <row r="58" spans="1:9">
      <c r="A58" s="45"/>
      <c r="B58" s="42"/>
    </row>
    <row r="59" spans="1:9">
      <c r="A59" s="45"/>
    </row>
  </sheetData>
  <pageMargins left="0.7" right="0.7" top="0.75" bottom="0.75" header="0.3" footer="0.3"/>
  <pageSetup orientation="portrait"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6B079-93D0-4A64-83B4-43C069FEF7B3}">
  <dimension ref="A2:H59"/>
  <sheetViews>
    <sheetView showGridLines="0" zoomScaleNormal="100" workbookViewId="0">
      <pane xSplit="1" ySplit="10" topLeftCell="B11" activePane="bottomRight" state="frozen"/>
      <selection activeCell="B8" sqref="B8"/>
      <selection pane="topRight" activeCell="B8" sqref="B8"/>
      <selection pane="bottomLeft" activeCell="B8" sqref="B8"/>
      <selection pane="bottomRight" activeCell="B11" sqref="B11"/>
    </sheetView>
  </sheetViews>
  <sheetFormatPr defaultColWidth="9.109375" defaultRowHeight="13.8"/>
  <cols>
    <col min="1" max="1" width="22.6640625" style="14" customWidth="1"/>
    <col min="2" max="8" width="10.6640625" style="14" customWidth="1"/>
    <col min="9" max="16384" width="9.109375" style="14"/>
  </cols>
  <sheetData>
    <row r="2" spans="1:8">
      <c r="A2" s="13" t="s">
        <v>44</v>
      </c>
      <c r="B2" s="14" t="s">
        <v>643</v>
      </c>
    </row>
    <row r="3" spans="1:8" s="16" customFormat="1">
      <c r="A3" s="15" t="s">
        <v>45</v>
      </c>
      <c r="B3" s="16" t="s">
        <v>644</v>
      </c>
    </row>
    <row r="4" spans="1:8">
      <c r="A4" s="13" t="s">
        <v>2</v>
      </c>
      <c r="B4" s="14" t="s">
        <v>4</v>
      </c>
    </row>
    <row r="5" spans="1:8">
      <c r="A5" s="13" t="s">
        <v>46</v>
      </c>
    </row>
    <row r="6" spans="1:8">
      <c r="A6" s="13" t="s">
        <v>47</v>
      </c>
      <c r="B6" s="14">
        <v>3</v>
      </c>
    </row>
    <row r="7" spans="1:8">
      <c r="A7" s="13" t="s">
        <v>48</v>
      </c>
      <c r="B7" s="14" t="s">
        <v>540</v>
      </c>
    </row>
    <row r="8" spans="1:8">
      <c r="A8" s="13" t="s">
        <v>347</v>
      </c>
      <c r="B8" s="14" t="s">
        <v>374</v>
      </c>
    </row>
    <row r="9" spans="1:8">
      <c r="A9" s="17"/>
    </row>
    <row r="10" spans="1:8">
      <c r="A10" s="17" t="s">
        <v>49</v>
      </c>
      <c r="B10" s="18">
        <v>44227</v>
      </c>
      <c r="C10" s="18">
        <f>EOMONTH(B10,-3)</f>
        <v>44135</v>
      </c>
      <c r="D10" s="18">
        <f t="shared" ref="D10:H10" si="0">EOMONTH(C10,-3)</f>
        <v>44043</v>
      </c>
      <c r="E10" s="18">
        <f t="shared" si="0"/>
        <v>43951</v>
      </c>
      <c r="F10" s="18">
        <f t="shared" si="0"/>
        <v>43861</v>
      </c>
      <c r="G10" s="18">
        <f t="shared" si="0"/>
        <v>43769</v>
      </c>
      <c r="H10" s="18">
        <f t="shared" si="0"/>
        <v>43677</v>
      </c>
    </row>
    <row r="12" spans="1:8">
      <c r="A12" s="19" t="s">
        <v>50</v>
      </c>
      <c r="B12" s="20">
        <v>229.26600000000002</v>
      </c>
      <c r="C12" s="20">
        <v>201.31200000000001</v>
      </c>
      <c r="D12" s="20">
        <v>209.73</v>
      </c>
      <c r="E12" s="20">
        <v>215.31799999999998</v>
      </c>
      <c r="F12" s="20">
        <v>201.80599999999998</v>
      </c>
      <c r="G12" s="20">
        <v>230.124</v>
      </c>
      <c r="H12" s="20">
        <v>223.053</v>
      </c>
    </row>
    <row r="13" spans="1:8" s="21" customFormat="1">
      <c r="A13" s="21" t="s">
        <v>51</v>
      </c>
      <c r="B13" s="21">
        <f>+B12/F12-1</f>
        <v>0.13607127637433991</v>
      </c>
      <c r="C13" s="21">
        <f>+C12/G12-1</f>
        <v>-0.12520206497366626</v>
      </c>
      <c r="D13" s="21">
        <f>+D12/H12-1</f>
        <v>-5.9730198652338307E-2</v>
      </c>
    </row>
    <row r="14" spans="1:8" s="24" customFormat="1">
      <c r="A14" s="22" t="s">
        <v>52</v>
      </c>
      <c r="B14" s="23" t="s">
        <v>3</v>
      </c>
      <c r="C14" s="23" t="s">
        <v>3</v>
      </c>
      <c r="D14" s="23" t="s">
        <v>3</v>
      </c>
      <c r="E14" s="23"/>
      <c r="F14" s="22"/>
      <c r="G14" s="22"/>
      <c r="H14" s="22"/>
    </row>
    <row r="16" spans="1:8" s="17" customFormat="1">
      <c r="A16" s="25" t="s">
        <v>53</v>
      </c>
      <c r="B16" s="26">
        <v>44.862000000000002</v>
      </c>
      <c r="C16" s="26">
        <v>38.626999999999995</v>
      </c>
      <c r="D16" s="26">
        <v>38.557999999999993</v>
      </c>
      <c r="E16" s="26">
        <v>31.995999999999995</v>
      </c>
      <c r="F16" s="26">
        <v>31.091999999999999</v>
      </c>
      <c r="G16" s="26">
        <v>35.732999999999997</v>
      </c>
      <c r="H16" s="26">
        <v>33.969000000000001</v>
      </c>
    </row>
    <row r="17" spans="1:8" s="21" customFormat="1">
      <c r="A17" s="21" t="s">
        <v>54</v>
      </c>
      <c r="B17" s="21">
        <f>+B16/B12</f>
        <v>0.19567663761744</v>
      </c>
      <c r="C17" s="21">
        <f t="shared" ref="C17:H17" si="1">+C16/C12</f>
        <v>0.19187629152757904</v>
      </c>
      <c r="D17" s="21">
        <f t="shared" si="1"/>
        <v>0.18384589710580268</v>
      </c>
      <c r="E17" s="21">
        <f t="shared" si="1"/>
        <v>0.14859881663400179</v>
      </c>
      <c r="F17" s="21">
        <f t="shared" si="1"/>
        <v>0.15406875910527934</v>
      </c>
      <c r="G17" s="21">
        <f t="shared" si="1"/>
        <v>0.15527715492517077</v>
      </c>
      <c r="H17" s="21">
        <f t="shared" si="1"/>
        <v>0.15229115950020847</v>
      </c>
    </row>
    <row r="18" spans="1:8" s="24" customFormat="1"/>
    <row r="19" spans="1:8" s="24" customFormat="1">
      <c r="A19" s="19" t="s">
        <v>55</v>
      </c>
      <c r="B19" s="20">
        <v>0</v>
      </c>
      <c r="C19" s="20">
        <v>0</v>
      </c>
      <c r="D19" s="20">
        <v>0</v>
      </c>
      <c r="E19" s="20">
        <v>0</v>
      </c>
      <c r="F19" s="20">
        <v>0</v>
      </c>
      <c r="G19" s="20">
        <v>0</v>
      </c>
      <c r="H19" s="20">
        <v>0</v>
      </c>
    </row>
    <row r="20" spans="1:8" s="24" customFormat="1">
      <c r="A20" s="19" t="s">
        <v>56</v>
      </c>
      <c r="B20" s="20">
        <v>0</v>
      </c>
      <c r="C20" s="20">
        <v>0</v>
      </c>
      <c r="D20" s="20">
        <v>0</v>
      </c>
      <c r="E20" s="20">
        <v>0</v>
      </c>
      <c r="F20" s="20">
        <v>0</v>
      </c>
      <c r="G20" s="20">
        <v>0</v>
      </c>
      <c r="H20" s="20">
        <v>0</v>
      </c>
    </row>
    <row r="21" spans="1:8" s="24" customFormat="1">
      <c r="A21" s="19" t="s">
        <v>57</v>
      </c>
      <c r="B21" s="20">
        <v>0</v>
      </c>
      <c r="C21" s="20">
        <v>0</v>
      </c>
      <c r="D21" s="20">
        <v>0</v>
      </c>
      <c r="E21" s="20">
        <v>0</v>
      </c>
      <c r="F21" s="20">
        <v>0</v>
      </c>
      <c r="G21" s="20">
        <v>0</v>
      </c>
      <c r="H21" s="20">
        <v>0</v>
      </c>
    </row>
    <row r="22" spans="1:8" s="17" customFormat="1">
      <c r="A22" s="17" t="s">
        <v>58</v>
      </c>
      <c r="B22" s="27">
        <f>SUM(B16,B19:B21)</f>
        <v>44.862000000000002</v>
      </c>
      <c r="C22" s="27">
        <f t="shared" ref="C22:H22" si="2">SUM(C16,C19:C21)</f>
        <v>38.626999999999995</v>
      </c>
      <c r="D22" s="27">
        <f t="shared" si="2"/>
        <v>38.557999999999993</v>
      </c>
      <c r="E22" s="27">
        <f t="shared" si="2"/>
        <v>31.995999999999995</v>
      </c>
      <c r="F22" s="27">
        <f t="shared" si="2"/>
        <v>31.091999999999999</v>
      </c>
      <c r="G22" s="27">
        <f t="shared" si="2"/>
        <v>35.732999999999997</v>
      </c>
      <c r="H22" s="27">
        <f t="shared" si="2"/>
        <v>33.969000000000001</v>
      </c>
    </row>
    <row r="23" spans="1:8" s="17" customFormat="1">
      <c r="B23" s="27"/>
      <c r="C23" s="27"/>
      <c r="D23" s="27"/>
      <c r="E23" s="27"/>
      <c r="F23" s="27"/>
      <c r="G23" s="27"/>
      <c r="H23" s="27"/>
    </row>
    <row r="24" spans="1:8" s="17" customFormat="1">
      <c r="A24" s="17" t="s">
        <v>59</v>
      </c>
      <c r="B24" s="27">
        <f>SUM(B22:E22)</f>
        <v>154.04300000000001</v>
      </c>
      <c r="C24" s="27">
        <f>SUM(C22:F22)</f>
        <v>140.27299999999997</v>
      </c>
      <c r="D24" s="27">
        <f>SUM(D22:G22)</f>
        <v>137.37899999999999</v>
      </c>
      <c r="E24" s="27">
        <f>SUM(E22:H22)</f>
        <v>132.79</v>
      </c>
      <c r="F24" s="27"/>
      <c r="G24" s="27"/>
      <c r="H24" s="27"/>
    </row>
    <row r="25" spans="1:8" s="24" customFormat="1">
      <c r="A25" s="19" t="s">
        <v>60</v>
      </c>
      <c r="B25" s="28">
        <v>0</v>
      </c>
      <c r="C25" s="28">
        <v>0</v>
      </c>
      <c r="D25" s="28">
        <v>0</v>
      </c>
      <c r="E25" s="28">
        <v>0</v>
      </c>
      <c r="F25" s="28"/>
      <c r="G25" s="28"/>
      <c r="H25" s="28"/>
    </row>
    <row r="26" spans="1:8" s="24" customFormat="1">
      <c r="A26" s="19" t="s">
        <v>61</v>
      </c>
      <c r="B26" s="29">
        <v>0</v>
      </c>
      <c r="C26" s="29">
        <v>0</v>
      </c>
      <c r="D26" s="29">
        <v>0</v>
      </c>
      <c r="E26" s="29">
        <v>0</v>
      </c>
      <c r="F26" s="29"/>
      <c r="G26" s="30"/>
      <c r="H26" s="30"/>
    </row>
    <row r="27" spans="1:8" s="32" customFormat="1">
      <c r="A27" s="17" t="s">
        <v>62</v>
      </c>
      <c r="B27" s="27">
        <f>SUM(B24:B26)</f>
        <v>154.04300000000001</v>
      </c>
      <c r="C27" s="27">
        <f>SUM(C24:C26)</f>
        <v>140.27299999999997</v>
      </c>
      <c r="D27" s="27">
        <f>SUM(D24:D26)</f>
        <v>137.37899999999999</v>
      </c>
      <c r="E27" s="27">
        <f>SUM(E24:E26)</f>
        <v>132.79</v>
      </c>
      <c r="F27" s="27"/>
      <c r="G27" s="31"/>
      <c r="H27" s="31"/>
    </row>
    <row r="28" spans="1:8" s="24" customFormat="1"/>
    <row r="29" spans="1:8" s="17" customFormat="1">
      <c r="A29" s="17" t="s">
        <v>58</v>
      </c>
      <c r="B29" s="27">
        <f t="shared" ref="B29:H29" si="3">B22</f>
        <v>44.862000000000002</v>
      </c>
      <c r="C29" s="27">
        <f t="shared" si="3"/>
        <v>38.626999999999995</v>
      </c>
      <c r="D29" s="27">
        <f t="shared" si="3"/>
        <v>38.557999999999993</v>
      </c>
      <c r="E29" s="27">
        <f t="shared" si="3"/>
        <v>31.995999999999995</v>
      </c>
      <c r="F29" s="27">
        <f t="shared" si="3"/>
        <v>31.091999999999999</v>
      </c>
      <c r="G29" s="27">
        <f t="shared" si="3"/>
        <v>35.732999999999997</v>
      </c>
      <c r="H29" s="27">
        <f t="shared" si="3"/>
        <v>33.969000000000001</v>
      </c>
    </row>
    <row r="30" spans="1:8" s="33" customFormat="1">
      <c r="A30" s="20" t="s">
        <v>63</v>
      </c>
      <c r="B30" s="20"/>
      <c r="C30" s="20"/>
      <c r="D30" s="20"/>
      <c r="E30" s="20"/>
      <c r="F30" s="20"/>
      <c r="G30" s="20"/>
      <c r="H30" s="20"/>
    </row>
    <row r="31" spans="1:8" s="33" customFormat="1">
      <c r="A31" s="20" t="s">
        <v>64</v>
      </c>
      <c r="B31" s="20"/>
      <c r="C31" s="20"/>
      <c r="D31" s="20"/>
      <c r="E31" s="20"/>
      <c r="F31" s="20"/>
      <c r="G31" s="20"/>
      <c r="H31" s="20"/>
    </row>
    <row r="32" spans="1:8" s="33" customFormat="1">
      <c r="A32" s="20" t="s">
        <v>65</v>
      </c>
      <c r="B32" s="20"/>
      <c r="C32" s="20"/>
      <c r="D32" s="20"/>
      <c r="E32" s="20"/>
      <c r="F32" s="20"/>
      <c r="G32" s="20"/>
      <c r="H32" s="20"/>
    </row>
    <row r="33" spans="1:8" s="33" customFormat="1">
      <c r="A33" s="20" t="s">
        <v>66</v>
      </c>
      <c r="B33" s="20"/>
      <c r="C33" s="20"/>
      <c r="D33" s="20"/>
      <c r="E33" s="20"/>
      <c r="F33" s="20"/>
      <c r="G33" s="20"/>
      <c r="H33" s="20"/>
    </row>
    <row r="34" spans="1:8" s="33" customFormat="1">
      <c r="A34" s="20" t="s">
        <v>57</v>
      </c>
      <c r="B34" s="29"/>
      <c r="C34" s="29"/>
      <c r="D34" s="29"/>
      <c r="E34" s="29"/>
      <c r="F34" s="29"/>
      <c r="G34" s="29"/>
      <c r="H34" s="29"/>
    </row>
    <row r="35" spans="1:8" s="27" customFormat="1">
      <c r="A35" s="27" t="s">
        <v>67</v>
      </c>
      <c r="B35" s="27">
        <v>12.212000000000003</v>
      </c>
      <c r="C35" s="27">
        <v>36.74499999999999</v>
      </c>
      <c r="D35" s="27">
        <v>41.703000000000003</v>
      </c>
      <c r="E35" s="27">
        <v>19.789000000000001</v>
      </c>
      <c r="F35" s="27">
        <v>13.839999999999996</v>
      </c>
      <c r="G35" s="27">
        <v>22.271000000000001</v>
      </c>
      <c r="H35" s="27">
        <v>23.844000000000001</v>
      </c>
    </row>
    <row r="36" spans="1:8" s="33" customFormat="1">
      <c r="A36" s="20" t="s">
        <v>68</v>
      </c>
      <c r="B36" s="29">
        <v>-3.0510000000000002</v>
      </c>
      <c r="C36" s="29">
        <v>-1.9209999999999998</v>
      </c>
      <c r="D36" s="29">
        <v>-2.5009999999999999</v>
      </c>
      <c r="E36" s="29">
        <v>-2.9130000000000003</v>
      </c>
      <c r="F36" s="29">
        <v>-3.5420000000000016</v>
      </c>
      <c r="G36" s="29">
        <v>-2.1909999999999989</v>
      </c>
      <c r="H36" s="29">
        <v>-17.619</v>
      </c>
    </row>
    <row r="37" spans="1:8" s="27" customFormat="1">
      <c r="A37" s="27" t="s">
        <v>69</v>
      </c>
      <c r="B37" s="27">
        <f>+B35+B36</f>
        <v>9.1610000000000031</v>
      </c>
      <c r="C37" s="27">
        <f t="shared" ref="C37:H37" si="4">+C35+C36</f>
        <v>34.823999999999991</v>
      </c>
      <c r="D37" s="27">
        <f t="shared" si="4"/>
        <v>39.202000000000005</v>
      </c>
      <c r="E37" s="27">
        <f t="shared" si="4"/>
        <v>16.876000000000001</v>
      </c>
      <c r="F37" s="27">
        <f t="shared" si="4"/>
        <v>10.297999999999995</v>
      </c>
      <c r="G37" s="27">
        <f t="shared" si="4"/>
        <v>20.080000000000002</v>
      </c>
      <c r="H37" s="27">
        <f t="shared" si="4"/>
        <v>6.2250000000000014</v>
      </c>
    </row>
    <row r="39" spans="1:8" s="35" customFormat="1">
      <c r="A39" s="34" t="s">
        <v>70</v>
      </c>
      <c r="B39" s="20">
        <v>0</v>
      </c>
      <c r="C39" s="20"/>
      <c r="D39" s="20"/>
      <c r="E39" s="20"/>
      <c r="F39" s="20"/>
      <c r="G39" s="20"/>
      <c r="H39" s="20"/>
    </row>
    <row r="40" spans="1:8" s="35" customFormat="1">
      <c r="A40" s="34" t="s">
        <v>71</v>
      </c>
      <c r="B40" s="20">
        <v>875</v>
      </c>
      <c r="C40" s="20"/>
      <c r="D40" s="20"/>
      <c r="E40" s="20"/>
      <c r="F40" s="20"/>
      <c r="G40" s="20"/>
      <c r="H40" s="20"/>
    </row>
    <row r="41" spans="1:8" s="35" customFormat="1">
      <c r="A41" s="34" t="s">
        <v>72</v>
      </c>
      <c r="B41" s="20">
        <f>B39+B40+345</f>
        <v>1220</v>
      </c>
      <c r="C41" s="20"/>
      <c r="D41" s="20"/>
      <c r="E41" s="20"/>
      <c r="F41" s="20"/>
      <c r="G41" s="20"/>
      <c r="H41" s="20"/>
    </row>
    <row r="42" spans="1:8" s="35" customFormat="1">
      <c r="A42" s="34" t="s">
        <v>73</v>
      </c>
      <c r="B42" s="36">
        <v>570</v>
      </c>
      <c r="C42" s="36"/>
      <c r="D42" s="36"/>
      <c r="E42" s="36"/>
      <c r="F42" s="36"/>
      <c r="G42" s="36"/>
      <c r="H42" s="36"/>
    </row>
    <row r="43" spans="1:8">
      <c r="B43" s="35"/>
      <c r="C43" s="35"/>
      <c r="D43" s="35"/>
    </row>
    <row r="44" spans="1:8">
      <c r="A44" s="19" t="s">
        <v>74</v>
      </c>
      <c r="B44" s="28">
        <v>0</v>
      </c>
      <c r="C44" s="28"/>
      <c r="D44" s="28"/>
      <c r="E44" s="28"/>
      <c r="F44" s="28"/>
      <c r="G44" s="57"/>
      <c r="H44" s="57"/>
    </row>
    <row r="46" spans="1:8">
      <c r="A46" s="14" t="s">
        <v>75</v>
      </c>
      <c r="B46" s="51">
        <v>857</v>
      </c>
      <c r="C46" s="33"/>
      <c r="D46" s="33"/>
      <c r="E46" s="33"/>
      <c r="F46" s="33"/>
    </row>
    <row r="47" spans="1:8">
      <c r="A47" s="14" t="s">
        <v>76</v>
      </c>
      <c r="B47" s="51">
        <v>174</v>
      </c>
      <c r="C47" s="33"/>
      <c r="D47" s="33"/>
      <c r="E47" s="33"/>
      <c r="F47" s="33"/>
    </row>
    <row r="48" spans="1:8">
      <c r="A48" s="14" t="s">
        <v>77</v>
      </c>
      <c r="B48" s="51">
        <v>86.684000000000012</v>
      </c>
      <c r="C48" s="33"/>
      <c r="D48" s="33"/>
      <c r="E48" s="33"/>
      <c r="F48" s="33"/>
    </row>
    <row r="50" spans="1:8" s="37" customFormat="1">
      <c r="A50" s="37" t="s">
        <v>78</v>
      </c>
      <c r="B50" s="37">
        <f>+SUM(B39:B40)/B47</f>
        <v>5.0287356321839081</v>
      </c>
    </row>
    <row r="51" spans="1:8" s="37" customFormat="1">
      <c r="A51" s="37" t="s">
        <v>79</v>
      </c>
      <c r="B51" s="37">
        <f>+B41/B47</f>
        <v>7.0114942528735629</v>
      </c>
    </row>
    <row r="52" spans="1:8" s="37" customFormat="1">
      <c r="A52" s="37" t="s">
        <v>80</v>
      </c>
      <c r="B52" s="37">
        <f>+(B41-B44)/B47</f>
        <v>7.0114942528735629</v>
      </c>
    </row>
    <row r="53" spans="1:8" s="38" customFormat="1">
      <c r="A53" s="38" t="s">
        <v>81</v>
      </c>
      <c r="B53" s="38">
        <f>+B48/B41</f>
        <v>7.1052459016393454E-2</v>
      </c>
    </row>
    <row r="54" spans="1:8" s="38" customFormat="1">
      <c r="A54" s="39" t="s">
        <v>82</v>
      </c>
      <c r="B54" s="40"/>
      <c r="C54" s="40"/>
      <c r="D54" s="40"/>
      <c r="E54" s="40"/>
      <c r="F54" s="40"/>
      <c r="G54" s="39"/>
      <c r="H54" s="39"/>
    </row>
    <row r="55" spans="1:8" s="38" customFormat="1">
      <c r="A55" s="38" t="s">
        <v>83</v>
      </c>
      <c r="B55" s="41">
        <f>IF(B42=0,IF(B54="","","*"&amp;TEXT(B54,"0.0x")),(B41+B42-B44)/B47)</f>
        <v>10.287356321839081</v>
      </c>
      <c r="C55" s="41"/>
      <c r="D55" s="41"/>
      <c r="E55" s="41"/>
      <c r="F55" s="41"/>
      <c r="G55" s="41"/>
      <c r="H55" s="41" t="str">
        <f>IF(H42=0,IF(H54="","",CONCATENATE("* ",H54,"x")),(H41+H42-H44)/H47)</f>
        <v/>
      </c>
    </row>
    <row r="56" spans="1:8">
      <c r="F56" s="42"/>
    </row>
    <row r="57" spans="1:8" ht="80.25" customHeight="1">
      <c r="A57" s="43" t="s">
        <v>84</v>
      </c>
      <c r="B57" s="44" t="s">
        <v>90</v>
      </c>
      <c r="C57" s="44"/>
      <c r="D57" s="44"/>
      <c r="E57" s="44"/>
      <c r="F57" s="44"/>
      <c r="G57" s="44"/>
      <c r="H57" s="44"/>
    </row>
    <row r="58" spans="1:8">
      <c r="A58" s="45"/>
      <c r="B58" s="42"/>
    </row>
    <row r="59" spans="1:8">
      <c r="A59" s="45"/>
    </row>
  </sheetData>
  <pageMargins left="0.7" right="0.7" top="0.75" bottom="0.75" header="0.3" footer="0.3"/>
  <pageSetup orientation="portrait"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DEC24-EF2A-4761-9F7F-68E0F72B73A4}">
  <dimension ref="A2:I59"/>
  <sheetViews>
    <sheetView showGridLines="0" zoomScaleNormal="100" workbookViewId="0">
      <pane xSplit="1" ySplit="10" topLeftCell="B11" activePane="bottomRight" state="frozen"/>
      <selection activeCell="B8" sqref="B8"/>
      <selection pane="topRight" activeCell="B8" sqref="B8"/>
      <selection pane="bottomLeft" activeCell="B8" sqref="B8"/>
      <selection pane="bottomRight" activeCell="B11" sqref="B11"/>
    </sheetView>
  </sheetViews>
  <sheetFormatPr defaultColWidth="9.109375" defaultRowHeight="13.8"/>
  <cols>
    <col min="1" max="1" width="22.6640625" style="14" customWidth="1"/>
    <col min="2" max="9" width="10.6640625" style="14" customWidth="1"/>
    <col min="10" max="16384" width="9.109375" style="14"/>
  </cols>
  <sheetData>
    <row r="2" spans="1:9">
      <c r="A2" s="13" t="s">
        <v>44</v>
      </c>
      <c r="B2" s="14" t="s">
        <v>677</v>
      </c>
    </row>
    <row r="3" spans="1:9" s="16" customFormat="1">
      <c r="A3" s="15" t="s">
        <v>45</v>
      </c>
      <c r="B3" s="16" t="s">
        <v>678</v>
      </c>
    </row>
    <row r="4" spans="1:9">
      <c r="A4" s="13" t="s">
        <v>2</v>
      </c>
      <c r="B4" s="14" t="s">
        <v>4</v>
      </c>
    </row>
    <row r="5" spans="1:9">
      <c r="A5" s="13" t="s">
        <v>46</v>
      </c>
    </row>
    <row r="6" spans="1:9">
      <c r="A6" s="13" t="s">
        <v>47</v>
      </c>
      <c r="B6" s="14">
        <v>4</v>
      </c>
    </row>
    <row r="7" spans="1:9">
      <c r="A7" s="13" t="s">
        <v>48</v>
      </c>
      <c r="B7" s="14" t="s">
        <v>141</v>
      </c>
    </row>
    <row r="8" spans="1:9">
      <c r="A8" s="13" t="s">
        <v>347</v>
      </c>
      <c r="B8" s="14" t="s">
        <v>679</v>
      </c>
    </row>
    <row r="9" spans="1:9">
      <c r="A9" s="17"/>
    </row>
    <row r="10" spans="1:9">
      <c r="A10" s="17" t="s">
        <v>49</v>
      </c>
      <c r="B10" s="18">
        <v>44286</v>
      </c>
      <c r="C10" s="18">
        <f>EOMONTH(B10,-3)</f>
        <v>44196</v>
      </c>
      <c r="D10" s="18">
        <f t="shared" ref="D10:I10" si="0">EOMONTH(C10,-3)</f>
        <v>44104</v>
      </c>
      <c r="E10" s="18">
        <f t="shared" si="0"/>
        <v>44012</v>
      </c>
      <c r="F10" s="18">
        <f t="shared" si="0"/>
        <v>43921</v>
      </c>
      <c r="G10" s="18">
        <f t="shared" si="0"/>
        <v>43830</v>
      </c>
      <c r="H10" s="18">
        <f t="shared" si="0"/>
        <v>43738</v>
      </c>
      <c r="I10" s="18">
        <f t="shared" si="0"/>
        <v>43646</v>
      </c>
    </row>
    <row r="12" spans="1:9">
      <c r="A12" s="19" t="s">
        <v>50</v>
      </c>
      <c r="B12" s="20">
        <v>0</v>
      </c>
      <c r="C12" s="20">
        <v>0</v>
      </c>
      <c r="D12" s="20">
        <v>0</v>
      </c>
      <c r="E12" s="20">
        <v>0</v>
      </c>
      <c r="F12" s="20">
        <v>0</v>
      </c>
      <c r="G12" s="20">
        <v>0</v>
      </c>
      <c r="H12" s="20">
        <v>0</v>
      </c>
      <c r="I12" s="20">
        <v>0</v>
      </c>
    </row>
    <row r="13" spans="1:9" s="21" customFormat="1">
      <c r="A13" s="21" t="s">
        <v>51</v>
      </c>
      <c r="B13" s="21" t="e">
        <f>+B12/F12-1</f>
        <v>#DIV/0!</v>
      </c>
      <c r="C13" s="21" t="e">
        <f>+C12/G12-1</f>
        <v>#DIV/0!</v>
      </c>
      <c r="D13" s="21" t="e">
        <f>+D12/H12-1</f>
        <v>#DIV/0!</v>
      </c>
      <c r="E13" s="21" t="e">
        <f>+E12/I12-1</f>
        <v>#DIV/0!</v>
      </c>
    </row>
    <row r="14" spans="1:9" s="24" customFormat="1">
      <c r="A14" s="22" t="s">
        <v>52</v>
      </c>
      <c r="B14" s="23" t="s">
        <v>3</v>
      </c>
      <c r="C14" s="23" t="s">
        <v>3</v>
      </c>
      <c r="D14" s="23" t="s">
        <v>3</v>
      </c>
      <c r="E14" s="23" t="s">
        <v>3</v>
      </c>
      <c r="F14" s="22"/>
      <c r="G14" s="22"/>
      <c r="H14" s="22"/>
      <c r="I14" s="22"/>
    </row>
    <row r="16" spans="1:9" s="17" customFormat="1">
      <c r="A16" s="25" t="s">
        <v>53</v>
      </c>
      <c r="B16" s="26">
        <v>0</v>
      </c>
      <c r="C16" s="26">
        <v>0</v>
      </c>
      <c r="D16" s="26">
        <v>0</v>
      </c>
      <c r="E16" s="26">
        <v>0</v>
      </c>
      <c r="F16" s="26">
        <v>0</v>
      </c>
      <c r="G16" s="26">
        <v>0</v>
      </c>
      <c r="H16" s="26">
        <v>0</v>
      </c>
      <c r="I16" s="26">
        <v>0</v>
      </c>
    </row>
    <row r="17" spans="1:9" s="21" customFormat="1">
      <c r="A17" s="21" t="s">
        <v>54</v>
      </c>
      <c r="B17" s="21" t="e">
        <f>+B16/B12</f>
        <v>#DIV/0!</v>
      </c>
      <c r="C17" s="21" t="e">
        <f t="shared" ref="C17:I17" si="1">+C16/C12</f>
        <v>#DIV/0!</v>
      </c>
      <c r="D17" s="21" t="e">
        <f t="shared" si="1"/>
        <v>#DIV/0!</v>
      </c>
      <c r="E17" s="21" t="e">
        <f t="shared" si="1"/>
        <v>#DIV/0!</v>
      </c>
      <c r="F17" s="21" t="e">
        <f t="shared" si="1"/>
        <v>#DIV/0!</v>
      </c>
      <c r="G17" s="21" t="e">
        <f t="shared" si="1"/>
        <v>#DIV/0!</v>
      </c>
      <c r="H17" s="21" t="e">
        <f t="shared" si="1"/>
        <v>#DIV/0!</v>
      </c>
      <c r="I17" s="21" t="e">
        <f t="shared" si="1"/>
        <v>#DIV/0!</v>
      </c>
    </row>
    <row r="18" spans="1:9" s="24" customFormat="1"/>
    <row r="19" spans="1:9" s="24" customFormat="1">
      <c r="A19" s="19" t="s">
        <v>55</v>
      </c>
      <c r="B19" s="20">
        <v>0</v>
      </c>
      <c r="C19" s="20">
        <v>0</v>
      </c>
      <c r="D19" s="20">
        <v>0</v>
      </c>
      <c r="E19" s="20">
        <v>0</v>
      </c>
      <c r="F19" s="20">
        <v>0</v>
      </c>
      <c r="G19" s="20">
        <v>0</v>
      </c>
      <c r="H19" s="20">
        <v>0</v>
      </c>
      <c r="I19" s="20">
        <v>0</v>
      </c>
    </row>
    <row r="20" spans="1:9" s="24" customFormat="1">
      <c r="A20" s="19" t="s">
        <v>56</v>
      </c>
      <c r="B20" s="20">
        <v>0</v>
      </c>
      <c r="C20" s="20">
        <v>0</v>
      </c>
      <c r="D20" s="20">
        <v>0</v>
      </c>
      <c r="E20" s="20">
        <v>0</v>
      </c>
      <c r="F20" s="20">
        <v>0</v>
      </c>
      <c r="G20" s="20">
        <v>0</v>
      </c>
      <c r="H20" s="20">
        <v>0</v>
      </c>
      <c r="I20" s="20">
        <v>0</v>
      </c>
    </row>
    <row r="21" spans="1:9" s="24" customFormat="1">
      <c r="A21" s="19" t="s">
        <v>57</v>
      </c>
      <c r="B21" s="20">
        <v>0</v>
      </c>
      <c r="C21" s="20">
        <v>0</v>
      </c>
      <c r="D21" s="20">
        <v>0</v>
      </c>
      <c r="E21" s="20">
        <v>0</v>
      </c>
      <c r="F21" s="20">
        <v>0</v>
      </c>
      <c r="G21" s="20">
        <v>0</v>
      </c>
      <c r="H21" s="20">
        <v>0</v>
      </c>
      <c r="I21" s="20">
        <v>0</v>
      </c>
    </row>
    <row r="22" spans="1:9" s="17" customFormat="1">
      <c r="A22" s="17" t="s">
        <v>58</v>
      </c>
      <c r="B22" s="27">
        <f>SUM(B16,B19:B21)</f>
        <v>0</v>
      </c>
      <c r="C22" s="27">
        <f t="shared" ref="C22:I22" si="2">SUM(C16,C19:C21)</f>
        <v>0</v>
      </c>
      <c r="D22" s="27">
        <f t="shared" si="2"/>
        <v>0</v>
      </c>
      <c r="E22" s="27">
        <f t="shared" si="2"/>
        <v>0</v>
      </c>
      <c r="F22" s="27">
        <f t="shared" si="2"/>
        <v>0</v>
      </c>
      <c r="G22" s="27">
        <f t="shared" si="2"/>
        <v>0</v>
      </c>
      <c r="H22" s="27">
        <f t="shared" si="2"/>
        <v>0</v>
      </c>
      <c r="I22" s="27">
        <f t="shared" si="2"/>
        <v>0</v>
      </c>
    </row>
    <row r="23" spans="1:9" s="17" customFormat="1">
      <c r="B23" s="27"/>
      <c r="C23" s="27"/>
      <c r="D23" s="27"/>
      <c r="E23" s="27"/>
      <c r="F23" s="27"/>
      <c r="G23" s="27"/>
      <c r="H23" s="27"/>
      <c r="I23" s="27"/>
    </row>
    <row r="24" spans="1:9" s="17" customFormat="1">
      <c r="A24" s="17" t="s">
        <v>59</v>
      </c>
      <c r="B24" s="27">
        <f>SUM(B22:E22)</f>
        <v>0</v>
      </c>
      <c r="C24" s="27">
        <f>SUM(C22:F22)</f>
        <v>0</v>
      </c>
      <c r="D24" s="27">
        <f>SUM(D22:G22)</f>
        <v>0</v>
      </c>
      <c r="E24" s="27">
        <f>SUM(E22:H22)</f>
        <v>0</v>
      </c>
      <c r="F24" s="27">
        <f>SUM(F22:I22)</f>
        <v>0</v>
      </c>
      <c r="G24" s="27"/>
      <c r="H24" s="27"/>
      <c r="I24" s="27"/>
    </row>
    <row r="25" spans="1:9" s="24" customFormat="1">
      <c r="A25" s="19" t="s">
        <v>60</v>
      </c>
      <c r="B25" s="28">
        <v>0</v>
      </c>
      <c r="C25" s="28">
        <v>0</v>
      </c>
      <c r="D25" s="28">
        <v>0</v>
      </c>
      <c r="E25" s="28">
        <v>0</v>
      </c>
      <c r="F25" s="28">
        <v>0</v>
      </c>
      <c r="G25" s="28">
        <v>0</v>
      </c>
      <c r="H25" s="28">
        <v>0</v>
      </c>
      <c r="I25" s="28">
        <v>0</v>
      </c>
    </row>
    <row r="26" spans="1:9" s="24" customFormat="1">
      <c r="A26" s="19" t="s">
        <v>61</v>
      </c>
      <c r="B26" s="29">
        <v>0</v>
      </c>
      <c r="C26" s="29">
        <v>0</v>
      </c>
      <c r="D26" s="29">
        <v>0</v>
      </c>
      <c r="E26" s="29">
        <v>0</v>
      </c>
      <c r="F26" s="29">
        <v>0</v>
      </c>
      <c r="G26" s="30"/>
      <c r="H26" s="30"/>
      <c r="I26" s="30"/>
    </row>
    <row r="27" spans="1:9" s="32" customFormat="1">
      <c r="A27" s="17" t="s">
        <v>62</v>
      </c>
      <c r="B27" s="27">
        <f>SUM(B24:B26)</f>
        <v>0</v>
      </c>
      <c r="C27" s="27">
        <f>SUM(C24:C26)</f>
        <v>0</v>
      </c>
      <c r="D27" s="27">
        <f>SUM(D24:D26)</f>
        <v>0</v>
      </c>
      <c r="E27" s="27">
        <f>SUM(E24:E26)</f>
        <v>0</v>
      </c>
      <c r="F27" s="27">
        <f>SUM(F24:F26)</f>
        <v>0</v>
      </c>
      <c r="G27" s="31"/>
      <c r="H27" s="31"/>
      <c r="I27" s="31"/>
    </row>
    <row r="28" spans="1:9" s="24" customFormat="1"/>
    <row r="29" spans="1:9" s="17" customFormat="1">
      <c r="A29" s="17" t="s">
        <v>58</v>
      </c>
      <c r="B29" s="27">
        <f t="shared" ref="B29:I29" si="3">B22</f>
        <v>0</v>
      </c>
      <c r="C29" s="27">
        <f t="shared" si="3"/>
        <v>0</v>
      </c>
      <c r="D29" s="27">
        <f t="shared" si="3"/>
        <v>0</v>
      </c>
      <c r="E29" s="27">
        <f t="shared" si="3"/>
        <v>0</v>
      </c>
      <c r="F29" s="27">
        <f t="shared" si="3"/>
        <v>0</v>
      </c>
      <c r="G29" s="27">
        <f t="shared" si="3"/>
        <v>0</v>
      </c>
      <c r="H29" s="27">
        <f t="shared" si="3"/>
        <v>0</v>
      </c>
      <c r="I29" s="27">
        <f t="shared" si="3"/>
        <v>0</v>
      </c>
    </row>
    <row r="30" spans="1:9" s="33" customFormat="1">
      <c r="A30" s="20" t="s">
        <v>63</v>
      </c>
      <c r="B30" s="20">
        <v>0</v>
      </c>
      <c r="C30" s="20">
        <v>0</v>
      </c>
      <c r="D30" s="20">
        <v>0</v>
      </c>
      <c r="E30" s="20">
        <v>0</v>
      </c>
      <c r="F30" s="20">
        <v>0</v>
      </c>
      <c r="G30" s="20">
        <v>0</v>
      </c>
      <c r="H30" s="20">
        <v>0</v>
      </c>
      <c r="I30" s="20">
        <v>0</v>
      </c>
    </row>
    <row r="31" spans="1:9" s="33" customFormat="1">
      <c r="A31" s="20" t="s">
        <v>64</v>
      </c>
      <c r="B31" s="20">
        <v>0</v>
      </c>
      <c r="C31" s="20">
        <v>0</v>
      </c>
      <c r="D31" s="20">
        <v>0</v>
      </c>
      <c r="E31" s="20">
        <v>0</v>
      </c>
      <c r="F31" s="20">
        <v>0</v>
      </c>
      <c r="G31" s="20">
        <v>0</v>
      </c>
      <c r="H31" s="20">
        <v>0</v>
      </c>
      <c r="I31" s="20">
        <v>0</v>
      </c>
    </row>
    <row r="32" spans="1:9" s="33" customFormat="1">
      <c r="A32" s="20" t="s">
        <v>65</v>
      </c>
      <c r="B32" s="20">
        <v>0</v>
      </c>
      <c r="C32" s="20">
        <v>0</v>
      </c>
      <c r="D32" s="20">
        <v>0</v>
      </c>
      <c r="E32" s="20">
        <v>0</v>
      </c>
      <c r="F32" s="20">
        <v>0</v>
      </c>
      <c r="G32" s="20">
        <v>0</v>
      </c>
      <c r="H32" s="20">
        <v>0</v>
      </c>
      <c r="I32" s="20">
        <v>0</v>
      </c>
    </row>
    <row r="33" spans="1:9" s="33" customFormat="1">
      <c r="A33" s="20" t="s">
        <v>66</v>
      </c>
      <c r="B33" s="20">
        <v>0</v>
      </c>
      <c r="C33" s="20">
        <v>0</v>
      </c>
      <c r="D33" s="20">
        <v>0</v>
      </c>
      <c r="E33" s="20">
        <v>0</v>
      </c>
      <c r="F33" s="20">
        <v>0</v>
      </c>
      <c r="G33" s="20">
        <v>0</v>
      </c>
      <c r="H33" s="20">
        <v>0</v>
      </c>
      <c r="I33" s="20">
        <v>0</v>
      </c>
    </row>
    <row r="34" spans="1:9" s="33" customFormat="1">
      <c r="A34" s="20" t="s">
        <v>57</v>
      </c>
      <c r="B34" s="29">
        <v>0</v>
      </c>
      <c r="C34" s="29">
        <v>0</v>
      </c>
      <c r="D34" s="29">
        <v>0</v>
      </c>
      <c r="E34" s="29">
        <v>0</v>
      </c>
      <c r="F34" s="29">
        <v>0</v>
      </c>
      <c r="G34" s="29">
        <v>0</v>
      </c>
      <c r="H34" s="29">
        <v>0</v>
      </c>
      <c r="I34" s="29">
        <v>0</v>
      </c>
    </row>
    <row r="35" spans="1:9" s="27" customFormat="1">
      <c r="A35" s="27" t="s">
        <v>67</v>
      </c>
      <c r="B35" s="27">
        <v>0</v>
      </c>
      <c r="C35" s="27">
        <v>0</v>
      </c>
      <c r="D35" s="27">
        <v>0</v>
      </c>
      <c r="E35" s="27">
        <v>0</v>
      </c>
      <c r="F35" s="27">
        <v>0</v>
      </c>
      <c r="G35" s="27">
        <v>0</v>
      </c>
      <c r="H35" s="27">
        <v>0</v>
      </c>
      <c r="I35" s="27">
        <v>0</v>
      </c>
    </row>
    <row r="36" spans="1:9" s="33" customFormat="1">
      <c r="A36" s="20" t="s">
        <v>68</v>
      </c>
      <c r="B36" s="29">
        <v>0</v>
      </c>
      <c r="C36" s="29">
        <v>0</v>
      </c>
      <c r="D36" s="29">
        <v>0</v>
      </c>
      <c r="E36" s="29">
        <v>0</v>
      </c>
      <c r="F36" s="29">
        <v>0</v>
      </c>
      <c r="G36" s="29">
        <v>0</v>
      </c>
      <c r="H36" s="29">
        <v>0</v>
      </c>
      <c r="I36" s="29">
        <v>0</v>
      </c>
    </row>
    <row r="37" spans="1:9" s="27" customFormat="1">
      <c r="A37" s="27" t="s">
        <v>69</v>
      </c>
      <c r="B37" s="27">
        <f>+B35+B36</f>
        <v>0</v>
      </c>
      <c r="C37" s="27">
        <f t="shared" ref="C37:I37" si="4">+C35+C36</f>
        <v>0</v>
      </c>
      <c r="D37" s="27">
        <f t="shared" si="4"/>
        <v>0</v>
      </c>
      <c r="E37" s="27">
        <f t="shared" si="4"/>
        <v>0</v>
      </c>
      <c r="F37" s="27">
        <f t="shared" si="4"/>
        <v>0</v>
      </c>
      <c r="G37" s="27">
        <f t="shared" si="4"/>
        <v>0</v>
      </c>
      <c r="H37" s="27">
        <f t="shared" si="4"/>
        <v>0</v>
      </c>
      <c r="I37" s="27">
        <f t="shared" si="4"/>
        <v>0</v>
      </c>
    </row>
    <row r="39" spans="1:9" s="35" customFormat="1">
      <c r="A39" s="34" t="s">
        <v>70</v>
      </c>
      <c r="B39" s="20">
        <v>0</v>
      </c>
      <c r="C39" s="20"/>
      <c r="D39" s="20"/>
      <c r="E39" s="20"/>
      <c r="F39" s="20"/>
      <c r="G39" s="20"/>
      <c r="H39" s="20"/>
      <c r="I39" s="20"/>
    </row>
    <row r="40" spans="1:9" s="35" customFormat="1">
      <c r="A40" s="34" t="s">
        <v>71</v>
      </c>
      <c r="B40" s="20">
        <v>510</v>
      </c>
      <c r="C40" s="20"/>
      <c r="D40" s="20"/>
      <c r="E40" s="20"/>
      <c r="F40" s="20"/>
      <c r="G40" s="20"/>
      <c r="H40" s="20"/>
      <c r="I40" s="20"/>
    </row>
    <row r="41" spans="1:9" s="35" customFormat="1">
      <c r="A41" s="34" t="s">
        <v>72</v>
      </c>
      <c r="B41" s="20">
        <f>B39+B40+155</f>
        <v>665</v>
      </c>
      <c r="C41" s="20"/>
      <c r="D41" s="20"/>
      <c r="E41" s="20"/>
      <c r="F41" s="20"/>
      <c r="G41" s="20"/>
      <c r="H41" s="20"/>
      <c r="I41" s="20"/>
    </row>
    <row r="42" spans="1:9" s="35" customFormat="1">
      <c r="A42" s="34" t="s">
        <v>73</v>
      </c>
      <c r="B42" s="36">
        <v>164.8</v>
      </c>
      <c r="C42" s="36"/>
      <c r="D42" s="36"/>
      <c r="E42" s="36"/>
      <c r="F42" s="36"/>
      <c r="G42" s="36"/>
      <c r="H42" s="36"/>
      <c r="I42" s="36"/>
    </row>
    <row r="43" spans="1:9">
      <c r="B43" s="35"/>
      <c r="C43" s="35"/>
      <c r="D43" s="35"/>
    </row>
    <row r="44" spans="1:9">
      <c r="A44" s="19" t="s">
        <v>74</v>
      </c>
      <c r="B44" s="28">
        <v>9.8000000000000007</v>
      </c>
      <c r="C44" s="28"/>
      <c r="D44" s="28"/>
      <c r="E44" s="28"/>
      <c r="F44" s="28"/>
      <c r="G44" s="57"/>
      <c r="H44" s="57"/>
      <c r="I44" s="57"/>
    </row>
    <row r="46" spans="1:9">
      <c r="A46" s="14" t="s">
        <v>75</v>
      </c>
      <c r="B46" s="51">
        <f>(SUM(B12:E12))+339</f>
        <v>339</v>
      </c>
      <c r="C46" s="33"/>
      <c r="D46" s="33"/>
      <c r="E46" s="33"/>
      <c r="F46" s="33"/>
    </row>
    <row r="47" spans="1:9">
      <c r="A47" s="14" t="s">
        <v>76</v>
      </c>
      <c r="B47" s="51">
        <f>(+B27)+82</f>
        <v>82</v>
      </c>
      <c r="C47" s="33"/>
      <c r="D47" s="33"/>
      <c r="E47" s="33"/>
      <c r="F47" s="33"/>
    </row>
    <row r="48" spans="1:9">
      <c r="A48" s="14" t="s">
        <v>77</v>
      </c>
      <c r="B48" s="51">
        <v>26.863250000000001</v>
      </c>
      <c r="C48" s="33"/>
      <c r="D48" s="33"/>
      <c r="E48" s="33"/>
      <c r="F48" s="33"/>
    </row>
    <row r="50" spans="1:9" s="37" customFormat="1">
      <c r="A50" s="37" t="s">
        <v>78</v>
      </c>
      <c r="B50" s="37">
        <f>+SUM(B39:B40)/B47</f>
        <v>6.2195121951219514</v>
      </c>
    </row>
    <row r="51" spans="1:9" s="37" customFormat="1">
      <c r="A51" s="37" t="s">
        <v>79</v>
      </c>
      <c r="B51" s="37">
        <f>+B41/B47</f>
        <v>8.1097560975609753</v>
      </c>
    </row>
    <row r="52" spans="1:9" s="37" customFormat="1">
      <c r="A52" s="37" t="s">
        <v>80</v>
      </c>
      <c r="B52" s="37">
        <f>+(B41-B44)/B47</f>
        <v>7.9902439024390253</v>
      </c>
    </row>
    <row r="53" spans="1:9" s="38" customFormat="1">
      <c r="A53" s="38" t="s">
        <v>81</v>
      </c>
      <c r="B53" s="38">
        <f>+B48/B41</f>
        <v>4.0395864661654138E-2</v>
      </c>
    </row>
    <row r="54" spans="1:9" s="38" customFormat="1">
      <c r="A54" s="39" t="s">
        <v>82</v>
      </c>
      <c r="B54" s="40"/>
      <c r="C54" s="40"/>
      <c r="D54" s="40"/>
      <c r="E54" s="40"/>
      <c r="F54" s="40"/>
      <c r="G54" s="39"/>
      <c r="H54" s="39"/>
      <c r="I54" s="39"/>
    </row>
    <row r="55" spans="1:9" s="38" customFormat="1">
      <c r="A55" s="38" t="s">
        <v>83</v>
      </c>
      <c r="B55" s="41">
        <f>IF(B42=0,IF(B54="","","*"&amp;TEXT(B54,"0.0x")),(B41+B42-B44)/B47)</f>
        <v>10</v>
      </c>
      <c r="C55" s="41"/>
      <c r="D55" s="41"/>
      <c r="E55" s="41"/>
      <c r="F55" s="41"/>
      <c r="G55" s="41" t="str">
        <f>IF(G42=0,IF(G54="","",CONCATENATE("* ",G54,"x")),(G41+G42-G44)/G47)</f>
        <v/>
      </c>
      <c r="H55" s="41" t="str">
        <f>IF(H42=0,IF(H54="","",CONCATENATE("* ",H54,"x")),(H41+H42-H44)/H47)</f>
        <v/>
      </c>
      <c r="I55" s="41" t="str">
        <f>IF(I42=0,IF(I54="","",CONCATENATE("* ",I54,"x")),(I41+I42-I44)/I47)</f>
        <v/>
      </c>
    </row>
    <row r="56" spans="1:9">
      <c r="F56" s="42"/>
    </row>
    <row r="57" spans="1:9" ht="80.25" customHeight="1">
      <c r="A57" s="43" t="s">
        <v>84</v>
      </c>
      <c r="B57" s="44" t="s">
        <v>90</v>
      </c>
      <c r="C57" s="44"/>
      <c r="D57" s="44"/>
      <c r="E57" s="44"/>
      <c r="F57" s="44"/>
      <c r="G57" s="44"/>
      <c r="H57" s="44"/>
      <c r="I57" s="44"/>
    </row>
    <row r="58" spans="1:9">
      <c r="A58" s="45"/>
      <c r="B58" s="42"/>
    </row>
    <row r="59" spans="1:9">
      <c r="A59" s="45"/>
    </row>
  </sheetData>
  <pageMargins left="0.7" right="0.7" top="0.75" bottom="0.75" header="0.3" footer="0.3"/>
  <pageSetup orientation="portrait"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4EF07-169B-480B-A05A-6DD4C5AB4A20}">
  <dimension ref="A2:I59"/>
  <sheetViews>
    <sheetView showGridLines="0" zoomScaleNormal="100" workbookViewId="0">
      <pane xSplit="1" ySplit="10" topLeftCell="B11" activePane="bottomRight" state="frozen"/>
      <selection activeCell="B8" sqref="B8"/>
      <selection pane="topRight" activeCell="B8" sqref="B8"/>
      <selection pane="bottomLeft" activeCell="B8" sqref="B8"/>
      <selection pane="bottomRight" activeCell="B11" sqref="B11"/>
    </sheetView>
  </sheetViews>
  <sheetFormatPr defaultColWidth="9.109375" defaultRowHeight="13.8"/>
  <cols>
    <col min="1" max="1" width="22.6640625" style="14" customWidth="1"/>
    <col min="2" max="9" width="10.6640625" style="14" customWidth="1"/>
    <col min="10" max="16384" width="9.109375" style="14"/>
  </cols>
  <sheetData>
    <row r="2" spans="1:9">
      <c r="A2" s="13" t="s">
        <v>44</v>
      </c>
      <c r="B2" s="14" t="s">
        <v>681</v>
      </c>
    </row>
    <row r="3" spans="1:9" s="16" customFormat="1">
      <c r="A3" s="15" t="s">
        <v>45</v>
      </c>
      <c r="B3" s="16" t="s">
        <v>680</v>
      </c>
    </row>
    <row r="4" spans="1:9">
      <c r="A4" s="13" t="s">
        <v>2</v>
      </c>
      <c r="B4" s="14" t="s">
        <v>4</v>
      </c>
    </row>
    <row r="5" spans="1:9">
      <c r="A5" s="13" t="s">
        <v>46</v>
      </c>
    </row>
    <row r="6" spans="1:9">
      <c r="A6" s="13" t="s">
        <v>47</v>
      </c>
      <c r="B6" s="14">
        <v>3</v>
      </c>
    </row>
    <row r="7" spans="1:9">
      <c r="A7" s="13" t="s">
        <v>48</v>
      </c>
      <c r="B7" s="14" t="s">
        <v>141</v>
      </c>
    </row>
    <row r="8" spans="1:9">
      <c r="A8" s="13" t="s">
        <v>347</v>
      </c>
      <c r="B8" s="14" t="s">
        <v>392</v>
      </c>
    </row>
    <row r="9" spans="1:9">
      <c r="A9" s="17"/>
    </row>
    <row r="10" spans="1:9">
      <c r="A10" s="17" t="s">
        <v>49</v>
      </c>
      <c r="B10" s="18">
        <v>44316</v>
      </c>
      <c r="C10" s="18">
        <f>EOMONTH(B10,-3)</f>
        <v>44227</v>
      </c>
      <c r="D10" s="18">
        <f t="shared" ref="D10:I10" si="0">EOMONTH(C10,-3)</f>
        <v>44135</v>
      </c>
      <c r="E10" s="18">
        <f t="shared" si="0"/>
        <v>44043</v>
      </c>
      <c r="F10" s="18">
        <f t="shared" si="0"/>
        <v>43951</v>
      </c>
      <c r="G10" s="18">
        <f t="shared" si="0"/>
        <v>43861</v>
      </c>
      <c r="H10" s="18">
        <f t="shared" si="0"/>
        <v>43769</v>
      </c>
      <c r="I10" s="18">
        <f t="shared" si="0"/>
        <v>43677</v>
      </c>
    </row>
    <row r="12" spans="1:9">
      <c r="A12" s="19" t="s">
        <v>50</v>
      </c>
      <c r="B12" s="20">
        <v>0</v>
      </c>
      <c r="C12" s="20">
        <v>0</v>
      </c>
      <c r="D12" s="20">
        <v>0</v>
      </c>
      <c r="E12" s="20">
        <v>0</v>
      </c>
      <c r="F12" s="20">
        <v>0</v>
      </c>
      <c r="G12" s="20">
        <v>0</v>
      </c>
      <c r="H12" s="20">
        <v>0</v>
      </c>
      <c r="I12" s="20">
        <v>0</v>
      </c>
    </row>
    <row r="13" spans="1:9" s="21" customFormat="1">
      <c r="A13" s="21" t="s">
        <v>51</v>
      </c>
      <c r="B13" s="21" t="e">
        <f>+B12/F12-1</f>
        <v>#DIV/0!</v>
      </c>
      <c r="C13" s="21" t="e">
        <f>+C12/G12-1</f>
        <v>#DIV/0!</v>
      </c>
      <c r="D13" s="21" t="e">
        <f>+D12/H12-1</f>
        <v>#DIV/0!</v>
      </c>
      <c r="E13" s="21" t="e">
        <f>+E12/I12-1</f>
        <v>#DIV/0!</v>
      </c>
    </row>
    <row r="14" spans="1:9" s="24" customFormat="1">
      <c r="A14" s="22" t="s">
        <v>52</v>
      </c>
      <c r="B14" s="23" t="s">
        <v>3</v>
      </c>
      <c r="C14" s="23" t="s">
        <v>3</v>
      </c>
      <c r="D14" s="23" t="s">
        <v>3</v>
      </c>
      <c r="E14" s="23" t="s">
        <v>3</v>
      </c>
      <c r="F14" s="22"/>
      <c r="G14" s="22"/>
      <c r="H14" s="22"/>
      <c r="I14" s="22"/>
    </row>
    <row r="16" spans="1:9" s="17" customFormat="1">
      <c r="A16" s="25" t="s">
        <v>53</v>
      </c>
      <c r="B16" s="26">
        <v>0</v>
      </c>
      <c r="C16" s="26">
        <v>0</v>
      </c>
      <c r="D16" s="26">
        <v>0</v>
      </c>
      <c r="E16" s="26">
        <v>0</v>
      </c>
      <c r="F16" s="26">
        <v>0</v>
      </c>
      <c r="G16" s="26">
        <v>0</v>
      </c>
      <c r="H16" s="26">
        <v>0</v>
      </c>
      <c r="I16" s="26">
        <v>0</v>
      </c>
    </row>
    <row r="17" spans="1:9" s="21" customFormat="1">
      <c r="A17" s="21" t="s">
        <v>54</v>
      </c>
      <c r="B17" s="21" t="e">
        <f>+B16/B12</f>
        <v>#DIV/0!</v>
      </c>
      <c r="C17" s="21" t="e">
        <f t="shared" ref="C17:I17" si="1">+C16/C12</f>
        <v>#DIV/0!</v>
      </c>
      <c r="D17" s="21" t="e">
        <f t="shared" si="1"/>
        <v>#DIV/0!</v>
      </c>
      <c r="E17" s="21" t="e">
        <f t="shared" si="1"/>
        <v>#DIV/0!</v>
      </c>
      <c r="F17" s="21" t="e">
        <f t="shared" si="1"/>
        <v>#DIV/0!</v>
      </c>
      <c r="G17" s="21" t="e">
        <f t="shared" si="1"/>
        <v>#DIV/0!</v>
      </c>
      <c r="H17" s="21" t="e">
        <f t="shared" si="1"/>
        <v>#DIV/0!</v>
      </c>
      <c r="I17" s="21" t="e">
        <f t="shared" si="1"/>
        <v>#DIV/0!</v>
      </c>
    </row>
    <row r="18" spans="1:9" s="24" customFormat="1"/>
    <row r="19" spans="1:9" s="24" customFormat="1">
      <c r="A19" s="19" t="s">
        <v>55</v>
      </c>
      <c r="B19" s="20">
        <v>0</v>
      </c>
      <c r="C19" s="20">
        <v>0</v>
      </c>
      <c r="D19" s="20">
        <v>0</v>
      </c>
      <c r="E19" s="20">
        <v>0</v>
      </c>
      <c r="F19" s="20">
        <v>0</v>
      </c>
      <c r="G19" s="20">
        <v>0</v>
      </c>
      <c r="H19" s="20">
        <v>0</v>
      </c>
      <c r="I19" s="20">
        <v>0</v>
      </c>
    </row>
    <row r="20" spans="1:9" s="24" customFormat="1">
      <c r="A20" s="19" t="s">
        <v>56</v>
      </c>
      <c r="B20" s="20">
        <v>0</v>
      </c>
      <c r="C20" s="20">
        <v>0</v>
      </c>
      <c r="D20" s="20">
        <v>0</v>
      </c>
      <c r="E20" s="20">
        <v>0</v>
      </c>
      <c r="F20" s="20">
        <v>0</v>
      </c>
      <c r="G20" s="20">
        <v>0</v>
      </c>
      <c r="H20" s="20">
        <v>0</v>
      </c>
      <c r="I20" s="20">
        <v>0</v>
      </c>
    </row>
    <row r="21" spans="1:9" s="24" customFormat="1">
      <c r="A21" s="19" t="s">
        <v>57</v>
      </c>
      <c r="B21" s="20">
        <v>0</v>
      </c>
      <c r="C21" s="20">
        <v>0</v>
      </c>
      <c r="D21" s="20">
        <v>0</v>
      </c>
      <c r="E21" s="20">
        <v>0</v>
      </c>
      <c r="F21" s="20">
        <v>0</v>
      </c>
      <c r="G21" s="20">
        <v>0</v>
      </c>
      <c r="H21" s="20">
        <v>0</v>
      </c>
      <c r="I21" s="20">
        <v>0</v>
      </c>
    </row>
    <row r="22" spans="1:9" s="17" customFormat="1">
      <c r="A22" s="17" t="s">
        <v>58</v>
      </c>
      <c r="B22" s="27">
        <f>SUM(B16,B19:B21)</f>
        <v>0</v>
      </c>
      <c r="C22" s="27">
        <f t="shared" ref="C22:I22" si="2">SUM(C16,C19:C21)</f>
        <v>0</v>
      </c>
      <c r="D22" s="27">
        <f t="shared" si="2"/>
        <v>0</v>
      </c>
      <c r="E22" s="27">
        <f t="shared" si="2"/>
        <v>0</v>
      </c>
      <c r="F22" s="27">
        <f t="shared" si="2"/>
        <v>0</v>
      </c>
      <c r="G22" s="27">
        <f t="shared" si="2"/>
        <v>0</v>
      </c>
      <c r="H22" s="27">
        <f t="shared" si="2"/>
        <v>0</v>
      </c>
      <c r="I22" s="27">
        <f t="shared" si="2"/>
        <v>0</v>
      </c>
    </row>
    <row r="23" spans="1:9" s="17" customFormat="1">
      <c r="B23" s="27"/>
      <c r="C23" s="27"/>
      <c r="D23" s="27"/>
      <c r="E23" s="27"/>
      <c r="F23" s="27"/>
      <c r="G23" s="27"/>
      <c r="H23" s="27"/>
      <c r="I23" s="27"/>
    </row>
    <row r="24" spans="1:9" s="17" customFormat="1">
      <c r="A24" s="17" t="s">
        <v>59</v>
      </c>
      <c r="B24" s="27">
        <f>SUM(B22:E22)</f>
        <v>0</v>
      </c>
      <c r="C24" s="27">
        <f>SUM(C22:F22)</f>
        <v>0</v>
      </c>
      <c r="D24" s="27">
        <f>SUM(D22:G22)</f>
        <v>0</v>
      </c>
      <c r="E24" s="27">
        <f>SUM(E22:H22)</f>
        <v>0</v>
      </c>
      <c r="F24" s="27">
        <f>SUM(F22:I22)</f>
        <v>0</v>
      </c>
      <c r="G24" s="27"/>
      <c r="H24" s="27"/>
      <c r="I24" s="27"/>
    </row>
    <row r="25" spans="1:9" s="24" customFormat="1">
      <c r="A25" s="19" t="s">
        <v>60</v>
      </c>
      <c r="B25" s="28">
        <v>0</v>
      </c>
      <c r="C25" s="28">
        <v>0</v>
      </c>
      <c r="D25" s="28">
        <v>0</v>
      </c>
      <c r="E25" s="28">
        <v>0</v>
      </c>
      <c r="F25" s="28">
        <v>0</v>
      </c>
      <c r="G25" s="28">
        <v>0</v>
      </c>
      <c r="H25" s="28">
        <v>0</v>
      </c>
      <c r="I25" s="28">
        <v>0</v>
      </c>
    </row>
    <row r="26" spans="1:9" s="24" customFormat="1">
      <c r="A26" s="19" t="s">
        <v>61</v>
      </c>
      <c r="B26" s="29">
        <v>0</v>
      </c>
      <c r="C26" s="29">
        <v>0</v>
      </c>
      <c r="D26" s="29">
        <v>0</v>
      </c>
      <c r="E26" s="29">
        <v>0</v>
      </c>
      <c r="F26" s="29">
        <v>0</v>
      </c>
      <c r="G26" s="30"/>
      <c r="H26" s="30"/>
      <c r="I26" s="30"/>
    </row>
    <row r="27" spans="1:9" s="32" customFormat="1">
      <c r="A27" s="17" t="s">
        <v>62</v>
      </c>
      <c r="B27" s="27">
        <f>SUM(B24:B26)</f>
        <v>0</v>
      </c>
      <c r="C27" s="27">
        <f>SUM(C24:C26)</f>
        <v>0</v>
      </c>
      <c r="D27" s="27">
        <f>SUM(D24:D26)</f>
        <v>0</v>
      </c>
      <c r="E27" s="27">
        <f>SUM(E24:E26)</f>
        <v>0</v>
      </c>
      <c r="F27" s="27">
        <f>SUM(F24:F26)</f>
        <v>0</v>
      </c>
      <c r="G27" s="31"/>
      <c r="H27" s="31"/>
      <c r="I27" s="31"/>
    </row>
    <row r="28" spans="1:9" s="24" customFormat="1"/>
    <row r="29" spans="1:9" s="17" customFormat="1">
      <c r="A29" s="17" t="s">
        <v>58</v>
      </c>
      <c r="B29" s="27">
        <f t="shared" ref="B29:I29" si="3">B22</f>
        <v>0</v>
      </c>
      <c r="C29" s="27">
        <f t="shared" si="3"/>
        <v>0</v>
      </c>
      <c r="D29" s="27">
        <f t="shared" si="3"/>
        <v>0</v>
      </c>
      <c r="E29" s="27">
        <f t="shared" si="3"/>
        <v>0</v>
      </c>
      <c r="F29" s="27">
        <f t="shared" si="3"/>
        <v>0</v>
      </c>
      <c r="G29" s="27">
        <f t="shared" si="3"/>
        <v>0</v>
      </c>
      <c r="H29" s="27">
        <f t="shared" si="3"/>
        <v>0</v>
      </c>
      <c r="I29" s="27">
        <f t="shared" si="3"/>
        <v>0</v>
      </c>
    </row>
    <row r="30" spans="1:9" s="33" customFormat="1">
      <c r="A30" s="20" t="s">
        <v>63</v>
      </c>
      <c r="B30" s="20">
        <v>0</v>
      </c>
      <c r="C30" s="20">
        <v>0</v>
      </c>
      <c r="D30" s="20">
        <v>0</v>
      </c>
      <c r="E30" s="20">
        <v>0</v>
      </c>
      <c r="F30" s="20">
        <v>0</v>
      </c>
      <c r="G30" s="20">
        <v>0</v>
      </c>
      <c r="H30" s="20">
        <v>0</v>
      </c>
      <c r="I30" s="20">
        <v>0</v>
      </c>
    </row>
    <row r="31" spans="1:9" s="33" customFormat="1">
      <c r="A31" s="20" t="s">
        <v>64</v>
      </c>
      <c r="B31" s="20">
        <v>0</v>
      </c>
      <c r="C31" s="20">
        <v>0</v>
      </c>
      <c r="D31" s="20">
        <v>0</v>
      </c>
      <c r="E31" s="20">
        <v>0</v>
      </c>
      <c r="F31" s="20">
        <v>0</v>
      </c>
      <c r="G31" s="20">
        <v>0</v>
      </c>
      <c r="H31" s="20">
        <v>0</v>
      </c>
      <c r="I31" s="20">
        <v>0</v>
      </c>
    </row>
    <row r="32" spans="1:9" s="33" customFormat="1">
      <c r="A32" s="20" t="s">
        <v>65</v>
      </c>
      <c r="B32" s="20">
        <v>0</v>
      </c>
      <c r="C32" s="20">
        <v>0</v>
      </c>
      <c r="D32" s="20">
        <v>0</v>
      </c>
      <c r="E32" s="20">
        <v>0</v>
      </c>
      <c r="F32" s="20">
        <v>0</v>
      </c>
      <c r="G32" s="20">
        <v>0</v>
      </c>
      <c r="H32" s="20">
        <v>0</v>
      </c>
      <c r="I32" s="20">
        <v>0</v>
      </c>
    </row>
    <row r="33" spans="1:9" s="33" customFormat="1">
      <c r="A33" s="20" t="s">
        <v>66</v>
      </c>
      <c r="B33" s="20">
        <v>0</v>
      </c>
      <c r="C33" s="20">
        <v>0</v>
      </c>
      <c r="D33" s="20">
        <v>0</v>
      </c>
      <c r="E33" s="20">
        <v>0</v>
      </c>
      <c r="F33" s="20">
        <v>0</v>
      </c>
      <c r="G33" s="20">
        <v>0</v>
      </c>
      <c r="H33" s="20">
        <v>0</v>
      </c>
      <c r="I33" s="20">
        <v>0</v>
      </c>
    </row>
    <row r="34" spans="1:9" s="33" customFormat="1">
      <c r="A34" s="20" t="s">
        <v>57</v>
      </c>
      <c r="B34" s="29">
        <v>0</v>
      </c>
      <c r="C34" s="29">
        <v>0</v>
      </c>
      <c r="D34" s="29">
        <v>0</v>
      </c>
      <c r="E34" s="29">
        <v>0</v>
      </c>
      <c r="F34" s="29">
        <v>0</v>
      </c>
      <c r="G34" s="29">
        <v>0</v>
      </c>
      <c r="H34" s="29">
        <v>0</v>
      </c>
      <c r="I34" s="29">
        <v>0</v>
      </c>
    </row>
    <row r="35" spans="1:9" s="27" customFormat="1">
      <c r="A35" s="27" t="s">
        <v>67</v>
      </c>
      <c r="B35" s="27">
        <v>0</v>
      </c>
      <c r="C35" s="27">
        <v>0</v>
      </c>
      <c r="D35" s="27">
        <v>0</v>
      </c>
      <c r="E35" s="27">
        <v>0</v>
      </c>
      <c r="F35" s="27">
        <v>0</v>
      </c>
      <c r="G35" s="27">
        <v>0</v>
      </c>
      <c r="H35" s="27">
        <v>0</v>
      </c>
      <c r="I35" s="27">
        <v>0</v>
      </c>
    </row>
    <row r="36" spans="1:9" s="33" customFormat="1">
      <c r="A36" s="20" t="s">
        <v>68</v>
      </c>
      <c r="B36" s="29">
        <v>0</v>
      </c>
      <c r="C36" s="29">
        <v>0</v>
      </c>
      <c r="D36" s="29">
        <v>0</v>
      </c>
      <c r="E36" s="29">
        <v>0</v>
      </c>
      <c r="F36" s="29">
        <v>0</v>
      </c>
      <c r="G36" s="29">
        <v>0</v>
      </c>
      <c r="H36" s="29">
        <v>0</v>
      </c>
      <c r="I36" s="29">
        <v>0</v>
      </c>
    </row>
    <row r="37" spans="1:9" s="27" customFormat="1">
      <c r="A37" s="27" t="s">
        <v>69</v>
      </c>
      <c r="B37" s="27">
        <f>+B35+B36</f>
        <v>0</v>
      </c>
      <c r="C37" s="27">
        <f t="shared" ref="C37:I37" si="4">+C35+C36</f>
        <v>0</v>
      </c>
      <c r="D37" s="27">
        <f t="shared" si="4"/>
        <v>0</v>
      </c>
      <c r="E37" s="27">
        <f t="shared" si="4"/>
        <v>0</v>
      </c>
      <c r="F37" s="27">
        <f t="shared" si="4"/>
        <v>0</v>
      </c>
      <c r="G37" s="27">
        <f t="shared" si="4"/>
        <v>0</v>
      </c>
      <c r="H37" s="27">
        <f t="shared" si="4"/>
        <v>0</v>
      </c>
      <c r="I37" s="27">
        <f t="shared" si="4"/>
        <v>0</v>
      </c>
    </row>
    <row r="39" spans="1:9" s="35" customFormat="1">
      <c r="A39" s="34" t="s">
        <v>70</v>
      </c>
      <c r="B39" s="20">
        <v>0</v>
      </c>
      <c r="C39" s="20"/>
      <c r="D39" s="20"/>
      <c r="E39" s="20"/>
      <c r="F39" s="20"/>
      <c r="G39" s="20"/>
      <c r="H39" s="20"/>
      <c r="I39" s="20"/>
    </row>
    <row r="40" spans="1:9" s="35" customFormat="1">
      <c r="A40" s="34" t="s">
        <v>71</v>
      </c>
      <c r="B40" s="20">
        <v>1300</v>
      </c>
      <c r="C40" s="20"/>
      <c r="D40" s="20"/>
      <c r="E40" s="20"/>
      <c r="F40" s="20"/>
      <c r="G40" s="20"/>
      <c r="H40" s="20"/>
      <c r="I40" s="20"/>
    </row>
    <row r="41" spans="1:9" s="35" customFormat="1">
      <c r="A41" s="34" t="s">
        <v>72</v>
      </c>
      <c r="B41" s="20">
        <f>B39+B40+350</f>
        <v>1650</v>
      </c>
      <c r="C41" s="20"/>
      <c r="D41" s="20"/>
      <c r="E41" s="20"/>
      <c r="F41" s="20"/>
      <c r="G41" s="20"/>
      <c r="H41" s="20"/>
      <c r="I41" s="20"/>
    </row>
    <row r="42" spans="1:9" s="35" customFormat="1">
      <c r="A42" s="34" t="s">
        <v>73</v>
      </c>
      <c r="B42" s="36">
        <v>2909</v>
      </c>
      <c r="C42" s="36"/>
      <c r="D42" s="36"/>
      <c r="E42" s="36"/>
      <c r="F42" s="36"/>
      <c r="G42" s="36"/>
      <c r="H42" s="36"/>
      <c r="I42" s="36"/>
    </row>
    <row r="43" spans="1:9">
      <c r="B43" s="35"/>
      <c r="C43" s="35"/>
      <c r="D43" s="35"/>
    </row>
    <row r="44" spans="1:9">
      <c r="A44" s="19" t="s">
        <v>74</v>
      </c>
      <c r="B44" s="28">
        <v>20</v>
      </c>
      <c r="C44" s="28"/>
      <c r="D44" s="28"/>
      <c r="E44" s="28"/>
      <c r="F44" s="28"/>
      <c r="G44" s="57"/>
      <c r="H44" s="57"/>
      <c r="I44" s="57"/>
    </row>
    <row r="46" spans="1:9">
      <c r="A46" s="14" t="s">
        <v>75</v>
      </c>
      <c r="B46" s="51">
        <v>450</v>
      </c>
      <c r="C46" s="33"/>
      <c r="D46" s="33"/>
      <c r="E46" s="33"/>
      <c r="F46" s="33"/>
    </row>
    <row r="47" spans="1:9">
      <c r="A47" s="14" t="s">
        <v>76</v>
      </c>
      <c r="B47" s="51">
        <v>224</v>
      </c>
      <c r="C47" s="33"/>
      <c r="D47" s="33"/>
      <c r="E47" s="33"/>
      <c r="F47" s="33"/>
    </row>
    <row r="48" spans="1:9">
      <c r="A48" s="14" t="s">
        <v>77</v>
      </c>
      <c r="B48" s="51">
        <v>101.75</v>
      </c>
      <c r="C48" s="33"/>
      <c r="D48" s="33"/>
      <c r="E48" s="33"/>
      <c r="F48" s="33"/>
    </row>
    <row r="50" spans="1:9" s="37" customFormat="1">
      <c r="A50" s="37" t="s">
        <v>78</v>
      </c>
      <c r="B50" s="37">
        <f>+SUM(B39:B40)/B47</f>
        <v>5.8035714285714288</v>
      </c>
    </row>
    <row r="51" spans="1:9" s="37" customFormat="1">
      <c r="A51" s="37" t="s">
        <v>79</v>
      </c>
      <c r="B51" s="37">
        <f>+B41/B47</f>
        <v>7.3660714285714288</v>
      </c>
    </row>
    <row r="52" spans="1:9" s="37" customFormat="1">
      <c r="A52" s="37" t="s">
        <v>80</v>
      </c>
      <c r="B52" s="37">
        <f>+(B41-B44)/B47</f>
        <v>7.2767857142857144</v>
      </c>
    </row>
    <row r="53" spans="1:9" s="38" customFormat="1">
      <c r="A53" s="38" t="s">
        <v>81</v>
      </c>
      <c r="B53" s="38">
        <f>+B48/B41</f>
        <v>6.1666666666666668E-2</v>
      </c>
    </row>
    <row r="54" spans="1:9" s="38" customFormat="1">
      <c r="A54" s="39" t="s">
        <v>82</v>
      </c>
      <c r="B54" s="40"/>
      <c r="C54" s="40"/>
      <c r="D54" s="40"/>
      <c r="E54" s="40"/>
      <c r="F54" s="40"/>
      <c r="G54" s="39"/>
      <c r="H54" s="39"/>
      <c r="I54" s="39"/>
    </row>
    <row r="55" spans="1:9" s="38" customFormat="1">
      <c r="A55" s="38" t="s">
        <v>83</v>
      </c>
      <c r="B55" s="41">
        <f>IF(B42=0,IF(B54="","","*"&amp;TEXT(B54,"0.0x")),(B41+B42-B44)/B47)</f>
        <v>20.263392857142858</v>
      </c>
      <c r="C55" s="41"/>
      <c r="D55" s="41"/>
      <c r="E55" s="41"/>
      <c r="F55" s="41"/>
      <c r="G55" s="41"/>
      <c r="H55" s="41" t="str">
        <f>IF(H42=0,IF(H54="","",CONCATENATE("* ",H54,"x")),(H41+H42-H44)/H47)</f>
        <v/>
      </c>
      <c r="I55" s="41" t="str">
        <f>IF(I42=0,IF(I54="","",CONCATENATE("* ",I54,"x")),(I41+I42-I44)/I47)</f>
        <v/>
      </c>
    </row>
    <row r="56" spans="1:9">
      <c r="F56" s="42"/>
    </row>
    <row r="57" spans="1:9" ht="80.25" customHeight="1">
      <c r="A57" s="43" t="s">
        <v>84</v>
      </c>
      <c r="B57" s="44" t="s">
        <v>90</v>
      </c>
      <c r="C57" s="44"/>
      <c r="D57" s="44"/>
      <c r="E57" s="44"/>
      <c r="F57" s="44"/>
      <c r="G57" s="44"/>
      <c r="H57" s="44"/>
      <c r="I57" s="44"/>
    </row>
    <row r="58" spans="1:9">
      <c r="A58" s="45"/>
      <c r="B58" s="42"/>
    </row>
    <row r="59" spans="1:9">
      <c r="A59" s="45"/>
    </row>
  </sheetData>
  <pageMargins left="0.7" right="0.7" top="0.75" bottom="0.75" header="0.3" footer="0.3"/>
  <pageSetup orientation="portrait"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5C6CE-73F9-4634-B1F5-434EDDFCDE5E}">
  <dimension ref="A2:I59"/>
  <sheetViews>
    <sheetView showGridLines="0" zoomScaleNormal="100" workbookViewId="0">
      <pane xSplit="1" ySplit="10" topLeftCell="B45" activePane="bottomRight" state="frozen"/>
      <selection activeCell="B8" sqref="B8"/>
      <selection pane="topRight" activeCell="B8" sqref="B8"/>
      <selection pane="bottomLeft" activeCell="B8" sqref="B8"/>
      <selection pane="bottomRight" activeCell="B1" sqref="B1"/>
    </sheetView>
  </sheetViews>
  <sheetFormatPr defaultColWidth="9.109375" defaultRowHeight="13.8"/>
  <cols>
    <col min="1" max="1" width="22.6640625" style="14" customWidth="1"/>
    <col min="2" max="9" width="10.6640625" style="14" customWidth="1"/>
    <col min="10" max="16384" width="9.109375" style="14"/>
  </cols>
  <sheetData>
    <row r="2" spans="1:9">
      <c r="A2" s="13" t="s">
        <v>44</v>
      </c>
      <c r="B2" s="14" t="s">
        <v>696</v>
      </c>
    </row>
    <row r="3" spans="1:9" s="16" customFormat="1">
      <c r="A3" s="15" t="s">
        <v>45</v>
      </c>
      <c r="B3" s="16" t="s">
        <v>697</v>
      </c>
    </row>
    <row r="4" spans="1:9">
      <c r="A4" s="13" t="s">
        <v>2</v>
      </c>
      <c r="B4" s="14" t="s">
        <v>4</v>
      </c>
    </row>
    <row r="5" spans="1:9">
      <c r="A5" s="13" t="s">
        <v>46</v>
      </c>
    </row>
    <row r="6" spans="1:9">
      <c r="A6" s="13" t="s">
        <v>47</v>
      </c>
      <c r="B6" s="14">
        <v>2</v>
      </c>
    </row>
    <row r="7" spans="1:9">
      <c r="A7" s="13" t="s">
        <v>48</v>
      </c>
      <c r="B7" s="14" t="s">
        <v>698</v>
      </c>
    </row>
    <row r="8" spans="1:9">
      <c r="A8" s="13" t="s">
        <v>347</v>
      </c>
      <c r="B8" s="14" t="s">
        <v>625</v>
      </c>
    </row>
    <row r="9" spans="1:9">
      <c r="A9" s="17"/>
    </row>
    <row r="10" spans="1:9">
      <c r="A10" s="17" t="s">
        <v>49</v>
      </c>
      <c r="B10" s="18">
        <v>44377</v>
      </c>
      <c r="C10" s="18">
        <f>EOMONTH(B10,-3)</f>
        <v>44286</v>
      </c>
      <c r="D10" s="18">
        <f t="shared" ref="D10:I10" si="0">EOMONTH(C10,-3)</f>
        <v>44196</v>
      </c>
      <c r="E10" s="18">
        <f t="shared" si="0"/>
        <v>44104</v>
      </c>
      <c r="F10" s="18">
        <f t="shared" si="0"/>
        <v>44012</v>
      </c>
      <c r="G10" s="18">
        <f t="shared" si="0"/>
        <v>43921</v>
      </c>
      <c r="H10" s="18">
        <f t="shared" si="0"/>
        <v>43830</v>
      </c>
      <c r="I10" s="18">
        <f t="shared" si="0"/>
        <v>43738</v>
      </c>
    </row>
    <row r="12" spans="1:9">
      <c r="A12" s="19" t="s">
        <v>50</v>
      </c>
      <c r="B12" s="20">
        <v>0</v>
      </c>
      <c r="C12" s="20">
        <v>0</v>
      </c>
      <c r="D12" s="20">
        <v>0</v>
      </c>
      <c r="E12" s="20">
        <v>0</v>
      </c>
      <c r="F12" s="20">
        <v>0</v>
      </c>
      <c r="G12" s="20">
        <v>0</v>
      </c>
      <c r="H12" s="20">
        <v>0</v>
      </c>
      <c r="I12" s="20">
        <v>0</v>
      </c>
    </row>
    <row r="13" spans="1:9" s="21" customFormat="1">
      <c r="A13" s="21" t="s">
        <v>51</v>
      </c>
      <c r="B13" s="21" t="e">
        <f>+B12/F12-1</f>
        <v>#DIV/0!</v>
      </c>
      <c r="C13" s="21" t="e">
        <f>+C12/G12-1</f>
        <v>#DIV/0!</v>
      </c>
      <c r="D13" s="21" t="e">
        <f>+D12/H12-1</f>
        <v>#DIV/0!</v>
      </c>
      <c r="E13" s="21" t="e">
        <f>+E12/I12-1</f>
        <v>#DIV/0!</v>
      </c>
    </row>
    <row r="14" spans="1:9" s="24" customFormat="1">
      <c r="A14" s="22" t="s">
        <v>52</v>
      </c>
      <c r="B14" s="23" t="s">
        <v>3</v>
      </c>
      <c r="C14" s="23" t="s">
        <v>3</v>
      </c>
      <c r="D14" s="23" t="s">
        <v>3</v>
      </c>
      <c r="E14" s="23" t="s">
        <v>3</v>
      </c>
      <c r="F14" s="22"/>
      <c r="G14" s="22"/>
      <c r="H14" s="22"/>
      <c r="I14" s="22"/>
    </row>
    <row r="16" spans="1:9" s="17" customFormat="1">
      <c r="A16" s="25" t="s">
        <v>53</v>
      </c>
      <c r="B16" s="26">
        <v>0</v>
      </c>
      <c r="C16" s="26">
        <v>0</v>
      </c>
      <c r="D16" s="26">
        <v>0</v>
      </c>
      <c r="E16" s="26">
        <v>0</v>
      </c>
      <c r="F16" s="26">
        <v>0</v>
      </c>
      <c r="G16" s="26">
        <v>0</v>
      </c>
      <c r="H16" s="26">
        <v>0</v>
      </c>
      <c r="I16" s="26">
        <v>0</v>
      </c>
    </row>
    <row r="17" spans="1:9" s="21" customFormat="1">
      <c r="A17" s="21" t="s">
        <v>54</v>
      </c>
      <c r="B17" s="21" t="e">
        <f>+B16/B12</f>
        <v>#DIV/0!</v>
      </c>
      <c r="C17" s="21" t="e">
        <f t="shared" ref="C17:I17" si="1">+C16/C12</f>
        <v>#DIV/0!</v>
      </c>
      <c r="D17" s="21" t="e">
        <f t="shared" si="1"/>
        <v>#DIV/0!</v>
      </c>
      <c r="E17" s="21" t="e">
        <f t="shared" si="1"/>
        <v>#DIV/0!</v>
      </c>
      <c r="F17" s="21" t="e">
        <f t="shared" si="1"/>
        <v>#DIV/0!</v>
      </c>
      <c r="G17" s="21" t="e">
        <f t="shared" si="1"/>
        <v>#DIV/0!</v>
      </c>
      <c r="H17" s="21" t="e">
        <f t="shared" si="1"/>
        <v>#DIV/0!</v>
      </c>
      <c r="I17" s="21" t="e">
        <f t="shared" si="1"/>
        <v>#DIV/0!</v>
      </c>
    </row>
    <row r="18" spans="1:9" s="24" customFormat="1"/>
    <row r="19" spans="1:9" s="24" customFormat="1">
      <c r="A19" s="19" t="s">
        <v>55</v>
      </c>
      <c r="B19" s="20">
        <v>0</v>
      </c>
      <c r="C19" s="20">
        <v>0</v>
      </c>
      <c r="D19" s="20">
        <v>0</v>
      </c>
      <c r="E19" s="20">
        <v>0</v>
      </c>
      <c r="F19" s="20">
        <v>0</v>
      </c>
      <c r="G19" s="20">
        <v>0</v>
      </c>
      <c r="H19" s="20">
        <v>0</v>
      </c>
      <c r="I19" s="20">
        <v>0</v>
      </c>
    </row>
    <row r="20" spans="1:9" s="24" customFormat="1">
      <c r="A20" s="19" t="s">
        <v>56</v>
      </c>
      <c r="B20" s="20">
        <v>0</v>
      </c>
      <c r="C20" s="20">
        <v>0</v>
      </c>
      <c r="D20" s="20">
        <v>0</v>
      </c>
      <c r="E20" s="20">
        <v>0</v>
      </c>
      <c r="F20" s="20">
        <v>0</v>
      </c>
      <c r="G20" s="20">
        <v>0</v>
      </c>
      <c r="H20" s="20">
        <v>0</v>
      </c>
      <c r="I20" s="20">
        <v>0</v>
      </c>
    </row>
    <row r="21" spans="1:9" s="24" customFormat="1">
      <c r="A21" s="19" t="s">
        <v>57</v>
      </c>
      <c r="B21" s="20">
        <v>0</v>
      </c>
      <c r="C21" s="20">
        <v>0</v>
      </c>
      <c r="D21" s="20">
        <v>0</v>
      </c>
      <c r="E21" s="20">
        <v>0</v>
      </c>
      <c r="F21" s="20">
        <v>0</v>
      </c>
      <c r="G21" s="20">
        <v>0</v>
      </c>
      <c r="H21" s="20">
        <v>0</v>
      </c>
      <c r="I21" s="20">
        <v>0</v>
      </c>
    </row>
    <row r="22" spans="1:9" s="17" customFormat="1">
      <c r="A22" s="17" t="s">
        <v>58</v>
      </c>
      <c r="B22" s="27">
        <f>SUM(B16,B19:B21)</f>
        <v>0</v>
      </c>
      <c r="C22" s="27">
        <f t="shared" ref="C22:I22" si="2">SUM(C16,C19:C21)</f>
        <v>0</v>
      </c>
      <c r="D22" s="27">
        <f t="shared" si="2"/>
        <v>0</v>
      </c>
      <c r="E22" s="27">
        <f t="shared" si="2"/>
        <v>0</v>
      </c>
      <c r="F22" s="27">
        <f t="shared" si="2"/>
        <v>0</v>
      </c>
      <c r="G22" s="27">
        <f t="shared" si="2"/>
        <v>0</v>
      </c>
      <c r="H22" s="27">
        <f t="shared" si="2"/>
        <v>0</v>
      </c>
      <c r="I22" s="27">
        <f t="shared" si="2"/>
        <v>0</v>
      </c>
    </row>
    <row r="23" spans="1:9" s="17" customFormat="1">
      <c r="B23" s="27"/>
      <c r="C23" s="27"/>
      <c r="D23" s="27"/>
      <c r="E23" s="27"/>
      <c r="F23" s="27"/>
      <c r="G23" s="27"/>
      <c r="H23" s="27"/>
      <c r="I23" s="27"/>
    </row>
    <row r="24" spans="1:9" s="17" customFormat="1">
      <c r="A24" s="17" t="s">
        <v>59</v>
      </c>
      <c r="B24" s="27">
        <f>SUM(B22:E22)</f>
        <v>0</v>
      </c>
      <c r="C24" s="27">
        <f>SUM(C22:F22)</f>
        <v>0</v>
      </c>
      <c r="D24" s="27">
        <f>SUM(D22:G22)</f>
        <v>0</v>
      </c>
      <c r="E24" s="27">
        <f>SUM(E22:H22)</f>
        <v>0</v>
      </c>
      <c r="F24" s="27">
        <f>SUM(F22:I22)</f>
        <v>0</v>
      </c>
      <c r="G24" s="27"/>
      <c r="H24" s="27"/>
      <c r="I24" s="27"/>
    </row>
    <row r="25" spans="1:9" s="24" customFormat="1">
      <c r="A25" s="19" t="s">
        <v>60</v>
      </c>
      <c r="B25" s="28">
        <v>0</v>
      </c>
      <c r="C25" s="28">
        <v>0</v>
      </c>
      <c r="D25" s="28">
        <v>0</v>
      </c>
      <c r="E25" s="28">
        <v>0</v>
      </c>
      <c r="F25" s="28">
        <v>0</v>
      </c>
      <c r="G25" s="28">
        <v>0</v>
      </c>
      <c r="H25" s="28">
        <v>0</v>
      </c>
      <c r="I25" s="28">
        <v>0</v>
      </c>
    </row>
    <row r="26" spans="1:9" s="24" customFormat="1">
      <c r="A26" s="19" t="s">
        <v>61</v>
      </c>
      <c r="B26" s="29">
        <v>0</v>
      </c>
      <c r="C26" s="29">
        <v>0</v>
      </c>
      <c r="D26" s="29">
        <v>0</v>
      </c>
      <c r="E26" s="29">
        <v>0</v>
      </c>
      <c r="F26" s="29">
        <v>0</v>
      </c>
      <c r="G26" s="30"/>
      <c r="H26" s="30"/>
      <c r="I26" s="30"/>
    </row>
    <row r="27" spans="1:9" s="32" customFormat="1">
      <c r="A27" s="17" t="s">
        <v>62</v>
      </c>
      <c r="B27" s="27">
        <f>SUM(B24:B26)</f>
        <v>0</v>
      </c>
      <c r="C27" s="27">
        <f>SUM(C24:C26)</f>
        <v>0</v>
      </c>
      <c r="D27" s="27">
        <f>SUM(D24:D26)</f>
        <v>0</v>
      </c>
      <c r="E27" s="27">
        <f>SUM(E24:E26)</f>
        <v>0</v>
      </c>
      <c r="F27" s="27">
        <f>SUM(F24:F26)</f>
        <v>0</v>
      </c>
      <c r="G27" s="31"/>
      <c r="H27" s="31"/>
      <c r="I27" s="31"/>
    </row>
    <row r="28" spans="1:9" s="24" customFormat="1"/>
    <row r="29" spans="1:9" s="17" customFormat="1">
      <c r="A29" s="17" t="s">
        <v>58</v>
      </c>
      <c r="B29" s="27">
        <f t="shared" ref="B29:I29" si="3">B22</f>
        <v>0</v>
      </c>
      <c r="C29" s="27">
        <f t="shared" si="3"/>
        <v>0</v>
      </c>
      <c r="D29" s="27">
        <f t="shared" si="3"/>
        <v>0</v>
      </c>
      <c r="E29" s="27">
        <f t="shared" si="3"/>
        <v>0</v>
      </c>
      <c r="F29" s="27">
        <f t="shared" si="3"/>
        <v>0</v>
      </c>
      <c r="G29" s="27">
        <f t="shared" si="3"/>
        <v>0</v>
      </c>
      <c r="H29" s="27">
        <f t="shared" si="3"/>
        <v>0</v>
      </c>
      <c r="I29" s="27">
        <f t="shared" si="3"/>
        <v>0</v>
      </c>
    </row>
    <row r="30" spans="1:9" s="33" customFormat="1">
      <c r="A30" s="20" t="s">
        <v>63</v>
      </c>
      <c r="B30" s="20">
        <v>0</v>
      </c>
      <c r="C30" s="20">
        <v>0</v>
      </c>
      <c r="D30" s="20">
        <v>0</v>
      </c>
      <c r="E30" s="20">
        <v>0</v>
      </c>
      <c r="F30" s="20">
        <v>0</v>
      </c>
      <c r="G30" s="20">
        <v>0</v>
      </c>
      <c r="H30" s="20">
        <v>0</v>
      </c>
      <c r="I30" s="20">
        <v>0</v>
      </c>
    </row>
    <row r="31" spans="1:9" s="33" customFormat="1">
      <c r="A31" s="20" t="s">
        <v>64</v>
      </c>
      <c r="B31" s="20">
        <v>0</v>
      </c>
      <c r="C31" s="20">
        <v>0</v>
      </c>
      <c r="D31" s="20">
        <v>0</v>
      </c>
      <c r="E31" s="20">
        <v>0</v>
      </c>
      <c r="F31" s="20">
        <v>0</v>
      </c>
      <c r="G31" s="20">
        <v>0</v>
      </c>
      <c r="H31" s="20">
        <v>0</v>
      </c>
      <c r="I31" s="20">
        <v>0</v>
      </c>
    </row>
    <row r="32" spans="1:9" s="33" customFormat="1">
      <c r="A32" s="20" t="s">
        <v>65</v>
      </c>
      <c r="B32" s="20">
        <v>0</v>
      </c>
      <c r="C32" s="20">
        <v>0</v>
      </c>
      <c r="D32" s="20">
        <v>0</v>
      </c>
      <c r="E32" s="20">
        <v>0</v>
      </c>
      <c r="F32" s="20">
        <v>0</v>
      </c>
      <c r="G32" s="20">
        <v>0</v>
      </c>
      <c r="H32" s="20">
        <v>0</v>
      </c>
      <c r="I32" s="20">
        <v>0</v>
      </c>
    </row>
    <row r="33" spans="1:9" s="33" customFormat="1">
      <c r="A33" s="20" t="s">
        <v>66</v>
      </c>
      <c r="B33" s="20">
        <v>0</v>
      </c>
      <c r="C33" s="20">
        <v>0</v>
      </c>
      <c r="D33" s="20">
        <v>0</v>
      </c>
      <c r="E33" s="20">
        <v>0</v>
      </c>
      <c r="F33" s="20">
        <v>0</v>
      </c>
      <c r="G33" s="20">
        <v>0</v>
      </c>
      <c r="H33" s="20">
        <v>0</v>
      </c>
      <c r="I33" s="20">
        <v>0</v>
      </c>
    </row>
    <row r="34" spans="1:9" s="33" customFormat="1">
      <c r="A34" s="20" t="s">
        <v>57</v>
      </c>
      <c r="B34" s="29">
        <v>0</v>
      </c>
      <c r="C34" s="29">
        <v>0</v>
      </c>
      <c r="D34" s="29">
        <v>0</v>
      </c>
      <c r="E34" s="29">
        <v>0</v>
      </c>
      <c r="F34" s="29">
        <v>0</v>
      </c>
      <c r="G34" s="29">
        <v>0</v>
      </c>
      <c r="H34" s="29">
        <v>0</v>
      </c>
      <c r="I34" s="29">
        <v>0</v>
      </c>
    </row>
    <row r="35" spans="1:9" s="27" customFormat="1">
      <c r="A35" s="27" t="s">
        <v>67</v>
      </c>
      <c r="B35" s="27">
        <v>0</v>
      </c>
      <c r="C35" s="27">
        <v>0</v>
      </c>
      <c r="D35" s="27">
        <v>0</v>
      </c>
      <c r="E35" s="27">
        <v>0</v>
      </c>
      <c r="F35" s="27">
        <v>0</v>
      </c>
      <c r="G35" s="27">
        <v>0</v>
      </c>
      <c r="H35" s="27">
        <v>0</v>
      </c>
      <c r="I35" s="27">
        <v>0</v>
      </c>
    </row>
    <row r="36" spans="1:9" s="33" customFormat="1">
      <c r="A36" s="20" t="s">
        <v>68</v>
      </c>
      <c r="B36" s="29">
        <v>0</v>
      </c>
      <c r="C36" s="29">
        <v>0</v>
      </c>
      <c r="D36" s="29">
        <v>0</v>
      </c>
      <c r="E36" s="29">
        <v>0</v>
      </c>
      <c r="F36" s="29">
        <v>0</v>
      </c>
      <c r="G36" s="29">
        <v>0</v>
      </c>
      <c r="H36" s="29">
        <v>0</v>
      </c>
      <c r="I36" s="29">
        <v>0</v>
      </c>
    </row>
    <row r="37" spans="1:9" s="27" customFormat="1">
      <c r="A37" s="27" t="s">
        <v>69</v>
      </c>
      <c r="B37" s="27">
        <f>+B35+B36</f>
        <v>0</v>
      </c>
      <c r="C37" s="27">
        <f t="shared" ref="C37:I37" si="4">+C35+C36</f>
        <v>0</v>
      </c>
      <c r="D37" s="27">
        <f t="shared" si="4"/>
        <v>0</v>
      </c>
      <c r="E37" s="27">
        <f t="shared" si="4"/>
        <v>0</v>
      </c>
      <c r="F37" s="27">
        <f t="shared" si="4"/>
        <v>0</v>
      </c>
      <c r="G37" s="27">
        <f t="shared" si="4"/>
        <v>0</v>
      </c>
      <c r="H37" s="27">
        <f t="shared" si="4"/>
        <v>0</v>
      </c>
      <c r="I37" s="27">
        <f t="shared" si="4"/>
        <v>0</v>
      </c>
    </row>
    <row r="39" spans="1:9" s="35" customFormat="1">
      <c r="A39" s="34" t="s">
        <v>70</v>
      </c>
      <c r="B39" s="20">
        <v>0</v>
      </c>
      <c r="C39" s="20"/>
      <c r="D39" s="20"/>
      <c r="E39" s="20"/>
      <c r="F39" s="20"/>
      <c r="G39" s="20"/>
      <c r="H39" s="20"/>
      <c r="I39" s="20"/>
    </row>
    <row r="40" spans="1:9" s="35" customFormat="1">
      <c r="A40" s="34" t="s">
        <v>71</v>
      </c>
      <c r="B40" s="20">
        <v>2500</v>
      </c>
      <c r="C40" s="20"/>
      <c r="D40" s="20"/>
      <c r="E40" s="20"/>
      <c r="F40" s="20"/>
      <c r="G40" s="20"/>
      <c r="H40" s="20"/>
      <c r="I40" s="20"/>
    </row>
    <row r="41" spans="1:9" s="35" customFormat="1">
      <c r="A41" s="34" t="s">
        <v>72</v>
      </c>
      <c r="B41" s="20">
        <f>B39+B40+5000</f>
        <v>7500</v>
      </c>
      <c r="C41" s="20"/>
      <c r="D41" s="20"/>
      <c r="E41" s="20"/>
      <c r="F41" s="20"/>
      <c r="G41" s="20"/>
      <c r="H41" s="20"/>
      <c r="I41" s="20"/>
    </row>
    <row r="42" spans="1:9" s="35" customFormat="1">
      <c r="A42" s="34" t="s">
        <v>73</v>
      </c>
      <c r="B42" s="36">
        <v>5950</v>
      </c>
      <c r="C42" s="36"/>
      <c r="D42" s="36"/>
      <c r="E42" s="36"/>
      <c r="F42" s="36"/>
      <c r="G42" s="36"/>
      <c r="H42" s="36"/>
      <c r="I42" s="36"/>
    </row>
    <row r="43" spans="1:9">
      <c r="B43" s="35"/>
      <c r="C43" s="35"/>
      <c r="D43" s="35"/>
    </row>
    <row r="44" spans="1:9">
      <c r="A44" s="19" t="s">
        <v>74</v>
      </c>
      <c r="B44" s="28">
        <v>650</v>
      </c>
      <c r="C44" s="28"/>
      <c r="D44" s="28"/>
      <c r="E44" s="28"/>
      <c r="F44" s="28"/>
      <c r="G44" s="57"/>
      <c r="H44" s="57"/>
      <c r="I44" s="57"/>
    </row>
    <row r="46" spans="1:9">
      <c r="A46" s="14" t="s">
        <v>75</v>
      </c>
      <c r="B46" s="51">
        <v>7450</v>
      </c>
      <c r="C46" s="33"/>
      <c r="D46" s="33"/>
      <c r="E46" s="33"/>
      <c r="F46" s="33"/>
    </row>
    <row r="47" spans="1:9">
      <c r="A47" s="14" t="s">
        <v>76</v>
      </c>
      <c r="B47" s="51">
        <v>1600</v>
      </c>
      <c r="C47" s="33"/>
      <c r="D47" s="33"/>
      <c r="E47" s="33"/>
      <c r="F47" s="33"/>
    </row>
    <row r="48" spans="1:9">
      <c r="A48" s="14" t="s">
        <v>77</v>
      </c>
      <c r="B48" s="33"/>
      <c r="C48" s="33"/>
      <c r="D48" s="33"/>
      <c r="E48" s="33"/>
      <c r="F48" s="33"/>
    </row>
    <row r="50" spans="1:9" s="37" customFormat="1">
      <c r="A50" s="37" t="s">
        <v>78</v>
      </c>
      <c r="B50" s="37">
        <f>+SUM(B39:B40)/B47</f>
        <v>1.5625</v>
      </c>
    </row>
    <row r="51" spans="1:9" s="37" customFormat="1">
      <c r="A51" s="37" t="s">
        <v>79</v>
      </c>
      <c r="B51" s="37">
        <f>+B41/B47</f>
        <v>4.6875</v>
      </c>
    </row>
    <row r="52" spans="1:9" s="37" customFormat="1">
      <c r="A52" s="37" t="s">
        <v>80</v>
      </c>
      <c r="B52" s="37">
        <f>+(B41-B44)/B47</f>
        <v>4.28125</v>
      </c>
    </row>
    <row r="53" spans="1:9" s="38" customFormat="1">
      <c r="A53" s="38" t="s">
        <v>81</v>
      </c>
      <c r="B53" s="38">
        <f>+B48/B41</f>
        <v>0</v>
      </c>
    </row>
    <row r="54" spans="1:9" s="38" customFormat="1">
      <c r="A54" s="39" t="s">
        <v>82</v>
      </c>
      <c r="B54" s="40"/>
      <c r="C54" s="40"/>
      <c r="D54" s="40"/>
      <c r="E54" s="40"/>
      <c r="F54" s="40"/>
      <c r="G54" s="39"/>
      <c r="H54" s="39"/>
      <c r="I54" s="39"/>
    </row>
    <row r="55" spans="1:9" s="38" customFormat="1">
      <c r="A55" s="38" t="s">
        <v>83</v>
      </c>
      <c r="B55" s="41">
        <f>IF(B42=0,IF(B54="","","*"&amp;TEXT(B54,"0.0x")),(B41+B42-B44)/B47)</f>
        <v>8</v>
      </c>
      <c r="C55" s="41"/>
      <c r="D55" s="41"/>
      <c r="E55" s="41"/>
      <c r="F55" s="41"/>
      <c r="G55" s="41" t="str">
        <f>IF(G42=0,IF(G54="","",CONCATENATE("* ",G54,"x")),(G41+G42-G44)/G47)</f>
        <v/>
      </c>
      <c r="H55" s="41" t="str">
        <f>IF(H42=0,IF(H54="","",CONCATENATE("* ",H54,"x")),(H41+H42-H44)/H47)</f>
        <v/>
      </c>
      <c r="I55" s="41" t="str">
        <f>IF(I42=0,IF(I54="","",CONCATENATE("* ",I54,"x")),(I41+I42-I44)/I47)</f>
        <v/>
      </c>
    </row>
    <row r="56" spans="1:9">
      <c r="F56" s="42"/>
    </row>
    <row r="57" spans="1:9" ht="80.25" customHeight="1">
      <c r="A57" s="43" t="s">
        <v>84</v>
      </c>
      <c r="B57" s="44" t="s">
        <v>90</v>
      </c>
      <c r="C57" s="44"/>
      <c r="D57" s="44"/>
      <c r="E57" s="44"/>
      <c r="F57" s="44"/>
      <c r="G57" s="44"/>
      <c r="H57" s="44"/>
      <c r="I57" s="44"/>
    </row>
    <row r="58" spans="1:9">
      <c r="A58" s="45"/>
      <c r="B58" s="42"/>
    </row>
    <row r="59" spans="1:9">
      <c r="A59" s="45"/>
    </row>
  </sheetData>
  <pageMargins left="0.7" right="0.7" top="0.75" bottom="0.75" header="0.3" footer="0.3"/>
  <pageSetup orientation="portrait"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F3D8F-4B12-4A31-961B-3B311E4BAA93}">
  <dimension ref="A2:I59"/>
  <sheetViews>
    <sheetView showGridLines="0" zoomScaleNormal="100" workbookViewId="0">
      <pane xSplit="1" ySplit="10" topLeftCell="B11" activePane="bottomRight" state="frozen"/>
      <selection activeCell="B8" sqref="B8"/>
      <selection pane="topRight" activeCell="B8" sqref="B8"/>
      <selection pane="bottomLeft" activeCell="B8" sqref="B8"/>
      <selection pane="bottomRight" activeCell="B2" sqref="B2:D2"/>
    </sheetView>
  </sheetViews>
  <sheetFormatPr defaultColWidth="9.109375" defaultRowHeight="13.8"/>
  <cols>
    <col min="1" max="1" width="22.6640625" style="14" customWidth="1"/>
    <col min="2" max="9" width="10.6640625" style="14" customWidth="1"/>
    <col min="10" max="16384" width="9.109375" style="14"/>
  </cols>
  <sheetData>
    <row r="2" spans="1:9">
      <c r="A2" s="13" t="s">
        <v>44</v>
      </c>
    </row>
    <row r="3" spans="1:9" s="16" customFormat="1">
      <c r="A3" s="15" t="s">
        <v>45</v>
      </c>
    </row>
    <row r="4" spans="1:9">
      <c r="A4" s="13" t="s">
        <v>2</v>
      </c>
      <c r="B4" s="14" t="s">
        <v>4</v>
      </c>
    </row>
    <row r="5" spans="1:9">
      <c r="A5" s="13" t="s">
        <v>46</v>
      </c>
    </row>
    <row r="6" spans="1:9">
      <c r="A6" s="13" t="s">
        <v>47</v>
      </c>
    </row>
    <row r="7" spans="1:9">
      <c r="A7" s="13" t="s">
        <v>48</v>
      </c>
    </row>
    <row r="8" spans="1:9">
      <c r="A8" s="13" t="s">
        <v>347</v>
      </c>
      <c r="B8" s="14" t="e">
        <v>#N/A</v>
      </c>
    </row>
    <row r="9" spans="1:9">
      <c r="A9" s="17"/>
    </row>
    <row r="10" spans="1:9">
      <c r="A10" s="17" t="s">
        <v>49</v>
      </c>
      <c r="B10" s="18">
        <v>43100</v>
      </c>
      <c r="C10" s="18">
        <f>EOMONTH(B10,-3)</f>
        <v>43008</v>
      </c>
      <c r="D10" s="18">
        <f t="shared" ref="D10:I10" si="0">EOMONTH(C10,-3)</f>
        <v>42916</v>
      </c>
      <c r="E10" s="18">
        <f t="shared" si="0"/>
        <v>42825</v>
      </c>
      <c r="F10" s="18">
        <f t="shared" si="0"/>
        <v>42735</v>
      </c>
      <c r="G10" s="18">
        <f t="shared" si="0"/>
        <v>42643</v>
      </c>
      <c r="H10" s="18">
        <f t="shared" si="0"/>
        <v>42551</v>
      </c>
      <c r="I10" s="18">
        <f t="shared" si="0"/>
        <v>42460</v>
      </c>
    </row>
    <row r="12" spans="1:9">
      <c r="A12" s="19" t="s">
        <v>50</v>
      </c>
      <c r="B12" s="20">
        <v>0</v>
      </c>
      <c r="C12" s="20">
        <v>0</v>
      </c>
      <c r="D12" s="20">
        <v>0</v>
      </c>
      <c r="E12" s="20">
        <v>0</v>
      </c>
      <c r="F12" s="20">
        <v>0</v>
      </c>
      <c r="G12" s="20">
        <v>0</v>
      </c>
      <c r="H12" s="20">
        <v>0</v>
      </c>
      <c r="I12" s="20">
        <v>0</v>
      </c>
    </row>
    <row r="13" spans="1:9" s="21" customFormat="1">
      <c r="A13" s="21" t="s">
        <v>51</v>
      </c>
      <c r="B13" s="21" t="e">
        <f>+B12/F12-1</f>
        <v>#DIV/0!</v>
      </c>
      <c r="C13" s="21" t="e">
        <f>+C12/G12-1</f>
        <v>#DIV/0!</v>
      </c>
      <c r="D13" s="21" t="e">
        <f>+D12/H12-1</f>
        <v>#DIV/0!</v>
      </c>
      <c r="E13" s="21" t="e">
        <f>+E12/I12-1</f>
        <v>#DIV/0!</v>
      </c>
    </row>
    <row r="14" spans="1:9" s="24" customFormat="1">
      <c r="A14" s="22" t="s">
        <v>52</v>
      </c>
      <c r="B14" s="23" t="s">
        <v>3</v>
      </c>
      <c r="C14" s="23" t="s">
        <v>3</v>
      </c>
      <c r="D14" s="23" t="s">
        <v>3</v>
      </c>
      <c r="E14" s="23" t="s">
        <v>3</v>
      </c>
      <c r="F14" s="22"/>
      <c r="G14" s="22"/>
      <c r="H14" s="22"/>
      <c r="I14" s="22"/>
    </row>
    <row r="16" spans="1:9" s="17" customFormat="1">
      <c r="A16" s="25" t="s">
        <v>53</v>
      </c>
      <c r="B16" s="26">
        <v>0</v>
      </c>
      <c r="C16" s="26">
        <v>0</v>
      </c>
      <c r="D16" s="26">
        <v>0</v>
      </c>
      <c r="E16" s="26">
        <v>0</v>
      </c>
      <c r="F16" s="26">
        <v>0</v>
      </c>
      <c r="G16" s="26">
        <v>0</v>
      </c>
      <c r="H16" s="26">
        <v>0</v>
      </c>
      <c r="I16" s="26">
        <v>0</v>
      </c>
    </row>
    <row r="17" spans="1:9" s="21" customFormat="1">
      <c r="A17" s="21" t="s">
        <v>54</v>
      </c>
      <c r="B17" s="21" t="e">
        <f>+B16/B12</f>
        <v>#DIV/0!</v>
      </c>
      <c r="C17" s="21" t="e">
        <f t="shared" ref="C17:I17" si="1">+C16/C12</f>
        <v>#DIV/0!</v>
      </c>
      <c r="D17" s="21" t="e">
        <f t="shared" si="1"/>
        <v>#DIV/0!</v>
      </c>
      <c r="E17" s="21" t="e">
        <f t="shared" si="1"/>
        <v>#DIV/0!</v>
      </c>
      <c r="F17" s="21" t="e">
        <f t="shared" si="1"/>
        <v>#DIV/0!</v>
      </c>
      <c r="G17" s="21" t="e">
        <f t="shared" si="1"/>
        <v>#DIV/0!</v>
      </c>
      <c r="H17" s="21" t="e">
        <f t="shared" si="1"/>
        <v>#DIV/0!</v>
      </c>
      <c r="I17" s="21" t="e">
        <f t="shared" si="1"/>
        <v>#DIV/0!</v>
      </c>
    </row>
    <row r="18" spans="1:9" s="24" customFormat="1"/>
    <row r="19" spans="1:9" s="24" customFormat="1">
      <c r="A19" s="19" t="s">
        <v>55</v>
      </c>
      <c r="B19" s="20">
        <v>0</v>
      </c>
      <c r="C19" s="20">
        <v>0</v>
      </c>
      <c r="D19" s="20">
        <v>0</v>
      </c>
      <c r="E19" s="20">
        <v>0</v>
      </c>
      <c r="F19" s="20">
        <v>0</v>
      </c>
      <c r="G19" s="20">
        <v>0</v>
      </c>
      <c r="H19" s="20">
        <v>0</v>
      </c>
      <c r="I19" s="20">
        <v>0</v>
      </c>
    </row>
    <row r="20" spans="1:9" s="24" customFormat="1">
      <c r="A20" s="19" t="s">
        <v>56</v>
      </c>
      <c r="B20" s="20">
        <v>0</v>
      </c>
      <c r="C20" s="20">
        <v>0</v>
      </c>
      <c r="D20" s="20">
        <v>0</v>
      </c>
      <c r="E20" s="20">
        <v>0</v>
      </c>
      <c r="F20" s="20">
        <v>0</v>
      </c>
      <c r="G20" s="20">
        <v>0</v>
      </c>
      <c r="H20" s="20">
        <v>0</v>
      </c>
      <c r="I20" s="20">
        <v>0</v>
      </c>
    </row>
    <row r="21" spans="1:9" s="24" customFormat="1">
      <c r="A21" s="19" t="s">
        <v>57</v>
      </c>
      <c r="B21" s="20">
        <v>0</v>
      </c>
      <c r="C21" s="20">
        <v>0</v>
      </c>
      <c r="D21" s="20">
        <v>0</v>
      </c>
      <c r="E21" s="20">
        <v>0</v>
      </c>
      <c r="F21" s="20">
        <v>0</v>
      </c>
      <c r="G21" s="20">
        <v>0</v>
      </c>
      <c r="H21" s="20">
        <v>0</v>
      </c>
      <c r="I21" s="20">
        <v>0</v>
      </c>
    </row>
    <row r="22" spans="1:9" s="17" customFormat="1">
      <c r="A22" s="17" t="s">
        <v>58</v>
      </c>
      <c r="B22" s="27">
        <f>SUM(B16,B19:B21)</f>
        <v>0</v>
      </c>
      <c r="C22" s="27">
        <f t="shared" ref="C22:I22" si="2">SUM(C16,C19:C21)</f>
        <v>0</v>
      </c>
      <c r="D22" s="27">
        <f t="shared" si="2"/>
        <v>0</v>
      </c>
      <c r="E22" s="27">
        <f t="shared" si="2"/>
        <v>0</v>
      </c>
      <c r="F22" s="27">
        <f t="shared" si="2"/>
        <v>0</v>
      </c>
      <c r="G22" s="27">
        <f t="shared" si="2"/>
        <v>0</v>
      </c>
      <c r="H22" s="27">
        <f t="shared" si="2"/>
        <v>0</v>
      </c>
      <c r="I22" s="27">
        <f t="shared" si="2"/>
        <v>0</v>
      </c>
    </row>
    <row r="23" spans="1:9" s="17" customFormat="1">
      <c r="B23" s="27"/>
      <c r="C23" s="27"/>
      <c r="D23" s="27"/>
      <c r="E23" s="27"/>
      <c r="F23" s="27"/>
      <c r="G23" s="27"/>
      <c r="H23" s="27"/>
      <c r="I23" s="27"/>
    </row>
    <row r="24" spans="1:9" s="17" customFormat="1">
      <c r="A24" s="17" t="s">
        <v>59</v>
      </c>
      <c r="B24" s="27">
        <f>SUM(B22:E22)</f>
        <v>0</v>
      </c>
      <c r="C24" s="27">
        <f>SUM(C22:F22)</f>
        <v>0</v>
      </c>
      <c r="D24" s="27">
        <f>SUM(D22:G22)</f>
        <v>0</v>
      </c>
      <c r="E24" s="27">
        <f>SUM(E22:H22)</f>
        <v>0</v>
      </c>
      <c r="F24" s="27">
        <f>SUM(F22:I22)</f>
        <v>0</v>
      </c>
      <c r="G24" s="27"/>
      <c r="H24" s="27"/>
      <c r="I24" s="27"/>
    </row>
    <row r="25" spans="1:9" s="24" customFormat="1">
      <c r="A25" s="19" t="s">
        <v>60</v>
      </c>
      <c r="B25" s="28">
        <v>0</v>
      </c>
      <c r="C25" s="28">
        <v>0</v>
      </c>
      <c r="D25" s="28">
        <v>0</v>
      </c>
      <c r="E25" s="28">
        <v>0</v>
      </c>
      <c r="F25" s="28">
        <v>0</v>
      </c>
      <c r="G25" s="28">
        <v>0</v>
      </c>
      <c r="H25" s="28">
        <v>0</v>
      </c>
      <c r="I25" s="28">
        <v>0</v>
      </c>
    </row>
    <row r="26" spans="1:9" s="24" customFormat="1">
      <c r="A26" s="19" t="s">
        <v>61</v>
      </c>
      <c r="B26" s="29">
        <v>0</v>
      </c>
      <c r="C26" s="29">
        <v>0</v>
      </c>
      <c r="D26" s="29">
        <v>0</v>
      </c>
      <c r="E26" s="29">
        <v>0</v>
      </c>
      <c r="F26" s="29">
        <v>0</v>
      </c>
      <c r="G26" s="30"/>
      <c r="H26" s="30"/>
      <c r="I26" s="30"/>
    </row>
    <row r="27" spans="1:9" s="32" customFormat="1">
      <c r="A27" s="17" t="s">
        <v>62</v>
      </c>
      <c r="B27" s="27">
        <f>SUM(B24:B26)</f>
        <v>0</v>
      </c>
      <c r="C27" s="27">
        <f>SUM(C24:C26)</f>
        <v>0</v>
      </c>
      <c r="D27" s="27">
        <f>SUM(D24:D26)</f>
        <v>0</v>
      </c>
      <c r="E27" s="27">
        <f>SUM(E24:E26)</f>
        <v>0</v>
      </c>
      <c r="F27" s="27">
        <f>SUM(F24:F26)</f>
        <v>0</v>
      </c>
      <c r="G27" s="31"/>
      <c r="H27" s="31"/>
      <c r="I27" s="31"/>
    </row>
    <row r="28" spans="1:9" s="24" customFormat="1"/>
    <row r="29" spans="1:9" s="17" customFormat="1">
      <c r="A29" s="17" t="s">
        <v>58</v>
      </c>
      <c r="B29" s="27">
        <f t="shared" ref="B29:I29" si="3">B22</f>
        <v>0</v>
      </c>
      <c r="C29" s="27">
        <f t="shared" si="3"/>
        <v>0</v>
      </c>
      <c r="D29" s="27">
        <f t="shared" si="3"/>
        <v>0</v>
      </c>
      <c r="E29" s="27">
        <f t="shared" si="3"/>
        <v>0</v>
      </c>
      <c r="F29" s="27">
        <f t="shared" si="3"/>
        <v>0</v>
      </c>
      <c r="G29" s="27">
        <f t="shared" si="3"/>
        <v>0</v>
      </c>
      <c r="H29" s="27">
        <f t="shared" si="3"/>
        <v>0</v>
      </c>
      <c r="I29" s="27">
        <f t="shared" si="3"/>
        <v>0</v>
      </c>
    </row>
    <row r="30" spans="1:9" s="33" customFormat="1">
      <c r="A30" s="20" t="s">
        <v>63</v>
      </c>
      <c r="B30" s="20">
        <v>0</v>
      </c>
      <c r="C30" s="20">
        <v>0</v>
      </c>
      <c r="D30" s="20">
        <v>0</v>
      </c>
      <c r="E30" s="20">
        <v>0</v>
      </c>
      <c r="F30" s="20">
        <v>0</v>
      </c>
      <c r="G30" s="20">
        <v>0</v>
      </c>
      <c r="H30" s="20">
        <v>0</v>
      </c>
      <c r="I30" s="20">
        <v>0</v>
      </c>
    </row>
    <row r="31" spans="1:9" s="33" customFormat="1">
      <c r="A31" s="20" t="s">
        <v>64</v>
      </c>
      <c r="B31" s="20">
        <v>0</v>
      </c>
      <c r="C31" s="20">
        <v>0</v>
      </c>
      <c r="D31" s="20">
        <v>0</v>
      </c>
      <c r="E31" s="20">
        <v>0</v>
      </c>
      <c r="F31" s="20">
        <v>0</v>
      </c>
      <c r="G31" s="20">
        <v>0</v>
      </c>
      <c r="H31" s="20">
        <v>0</v>
      </c>
      <c r="I31" s="20">
        <v>0</v>
      </c>
    </row>
    <row r="32" spans="1:9" s="33" customFormat="1">
      <c r="A32" s="20" t="s">
        <v>65</v>
      </c>
      <c r="B32" s="20">
        <v>0</v>
      </c>
      <c r="C32" s="20">
        <v>0</v>
      </c>
      <c r="D32" s="20">
        <v>0</v>
      </c>
      <c r="E32" s="20">
        <v>0</v>
      </c>
      <c r="F32" s="20">
        <v>0</v>
      </c>
      <c r="G32" s="20">
        <v>0</v>
      </c>
      <c r="H32" s="20">
        <v>0</v>
      </c>
      <c r="I32" s="20">
        <v>0</v>
      </c>
    </row>
    <row r="33" spans="1:9" s="33" customFormat="1">
      <c r="A33" s="20" t="s">
        <v>66</v>
      </c>
      <c r="B33" s="20">
        <v>0</v>
      </c>
      <c r="C33" s="20">
        <v>0</v>
      </c>
      <c r="D33" s="20">
        <v>0</v>
      </c>
      <c r="E33" s="20">
        <v>0</v>
      </c>
      <c r="F33" s="20">
        <v>0</v>
      </c>
      <c r="G33" s="20">
        <v>0</v>
      </c>
      <c r="H33" s="20">
        <v>0</v>
      </c>
      <c r="I33" s="20">
        <v>0</v>
      </c>
    </row>
    <row r="34" spans="1:9" s="33" customFormat="1">
      <c r="A34" s="20" t="s">
        <v>57</v>
      </c>
      <c r="B34" s="29">
        <v>0</v>
      </c>
      <c r="C34" s="29">
        <v>0</v>
      </c>
      <c r="D34" s="29">
        <v>0</v>
      </c>
      <c r="E34" s="29">
        <v>0</v>
      </c>
      <c r="F34" s="29">
        <v>0</v>
      </c>
      <c r="G34" s="29">
        <v>0</v>
      </c>
      <c r="H34" s="29">
        <v>0</v>
      </c>
      <c r="I34" s="29">
        <v>0</v>
      </c>
    </row>
    <row r="35" spans="1:9" s="27" customFormat="1">
      <c r="A35" s="27" t="s">
        <v>67</v>
      </c>
      <c r="B35" s="27">
        <v>0</v>
      </c>
      <c r="C35" s="27">
        <v>0</v>
      </c>
      <c r="D35" s="27">
        <v>0</v>
      </c>
      <c r="E35" s="27">
        <v>0</v>
      </c>
      <c r="F35" s="27">
        <v>0</v>
      </c>
      <c r="G35" s="27">
        <v>0</v>
      </c>
      <c r="H35" s="27">
        <v>0</v>
      </c>
      <c r="I35" s="27">
        <v>0</v>
      </c>
    </row>
    <row r="36" spans="1:9" s="33" customFormat="1">
      <c r="A36" s="20" t="s">
        <v>68</v>
      </c>
      <c r="B36" s="29">
        <v>0</v>
      </c>
      <c r="C36" s="29">
        <v>0</v>
      </c>
      <c r="D36" s="29">
        <v>0</v>
      </c>
      <c r="E36" s="29">
        <v>0</v>
      </c>
      <c r="F36" s="29">
        <v>0</v>
      </c>
      <c r="G36" s="29">
        <v>0</v>
      </c>
      <c r="H36" s="29">
        <v>0</v>
      </c>
      <c r="I36" s="29">
        <v>0</v>
      </c>
    </row>
    <row r="37" spans="1:9" s="27" customFormat="1">
      <c r="A37" s="27" t="s">
        <v>69</v>
      </c>
      <c r="B37" s="27">
        <f>+B35+B36</f>
        <v>0</v>
      </c>
      <c r="C37" s="27">
        <f t="shared" ref="C37:I37" si="4">+C35+C36</f>
        <v>0</v>
      </c>
      <c r="D37" s="27">
        <f t="shared" si="4"/>
        <v>0</v>
      </c>
      <c r="E37" s="27">
        <f t="shared" si="4"/>
        <v>0</v>
      </c>
      <c r="F37" s="27">
        <f t="shared" si="4"/>
        <v>0</v>
      </c>
      <c r="G37" s="27">
        <f t="shared" si="4"/>
        <v>0</v>
      </c>
      <c r="H37" s="27">
        <f t="shared" si="4"/>
        <v>0</v>
      </c>
      <c r="I37" s="27">
        <f t="shared" si="4"/>
        <v>0</v>
      </c>
    </row>
    <row r="39" spans="1:9" s="35" customFormat="1">
      <c r="A39" s="34" t="s">
        <v>70</v>
      </c>
      <c r="B39" s="20">
        <v>0</v>
      </c>
      <c r="C39" s="20">
        <v>0</v>
      </c>
      <c r="D39" s="20">
        <v>0</v>
      </c>
      <c r="E39" s="20">
        <v>0</v>
      </c>
      <c r="F39" s="20">
        <v>0</v>
      </c>
      <c r="G39" s="20"/>
      <c r="H39" s="20"/>
      <c r="I39" s="20"/>
    </row>
    <row r="40" spans="1:9" s="35" customFormat="1">
      <c r="A40" s="34" t="s">
        <v>71</v>
      </c>
      <c r="B40" s="20">
        <v>0</v>
      </c>
      <c r="C40" s="20">
        <v>0</v>
      </c>
      <c r="D40" s="20">
        <v>0</v>
      </c>
      <c r="E40" s="20">
        <v>0</v>
      </c>
      <c r="F40" s="20">
        <v>0</v>
      </c>
      <c r="G40" s="20"/>
      <c r="H40" s="20"/>
      <c r="I40" s="20"/>
    </row>
    <row r="41" spans="1:9" s="35" customFormat="1">
      <c r="A41" s="34" t="s">
        <v>72</v>
      </c>
      <c r="B41" s="20">
        <v>0</v>
      </c>
      <c r="C41" s="20">
        <v>0</v>
      </c>
      <c r="D41" s="20">
        <v>0</v>
      </c>
      <c r="E41" s="20">
        <v>0</v>
      </c>
      <c r="F41" s="20">
        <v>0</v>
      </c>
      <c r="G41" s="20"/>
      <c r="H41" s="20"/>
      <c r="I41" s="20"/>
    </row>
    <row r="42" spans="1:9" s="35" customFormat="1">
      <c r="A42" s="34" t="s">
        <v>73</v>
      </c>
      <c r="B42" s="36">
        <v>0</v>
      </c>
      <c r="C42" s="36">
        <v>0</v>
      </c>
      <c r="D42" s="36">
        <v>0</v>
      </c>
      <c r="E42" s="36">
        <v>0</v>
      </c>
      <c r="F42" s="36">
        <v>0</v>
      </c>
      <c r="G42" s="36"/>
      <c r="H42" s="36"/>
      <c r="I42" s="36"/>
    </row>
    <row r="43" spans="1:9">
      <c r="B43" s="35"/>
      <c r="C43" s="35"/>
      <c r="D43" s="35"/>
    </row>
    <row r="44" spans="1:9">
      <c r="A44" s="19" t="s">
        <v>74</v>
      </c>
      <c r="B44" s="28">
        <v>0</v>
      </c>
      <c r="C44" s="28">
        <v>0</v>
      </c>
      <c r="D44" s="28">
        <v>0</v>
      </c>
      <c r="E44" s="28">
        <v>0</v>
      </c>
      <c r="F44" s="28">
        <v>0</v>
      </c>
      <c r="G44" s="57"/>
      <c r="H44" s="57"/>
      <c r="I44" s="57"/>
    </row>
    <row r="46" spans="1:9">
      <c r="A46" s="14" t="s">
        <v>75</v>
      </c>
      <c r="B46" s="33">
        <f>SUM(B12:E12)</f>
        <v>0</v>
      </c>
      <c r="C46" s="33">
        <f>SUM(C12:F12)</f>
        <v>0</v>
      </c>
      <c r="D46" s="33">
        <f>SUM(D12:G12)</f>
        <v>0</v>
      </c>
      <c r="E46" s="33">
        <f>SUM(E12:H12)</f>
        <v>0</v>
      </c>
      <c r="F46" s="33">
        <f>SUM(F12:I12)</f>
        <v>0</v>
      </c>
    </row>
    <row r="47" spans="1:9">
      <c r="A47" s="14" t="s">
        <v>76</v>
      </c>
      <c r="B47" s="33">
        <f>+B27</f>
        <v>0</v>
      </c>
      <c r="C47" s="33">
        <f>+C27</f>
        <v>0</v>
      </c>
      <c r="D47" s="33">
        <f>+D27</f>
        <v>0</v>
      </c>
      <c r="E47" s="33">
        <f>+E27</f>
        <v>0</v>
      </c>
      <c r="F47" s="33">
        <f>+F27</f>
        <v>0</v>
      </c>
    </row>
    <row r="48" spans="1:9">
      <c r="A48" s="14" t="s">
        <v>77</v>
      </c>
      <c r="B48" s="33">
        <f>+SUM(B37:E37)</f>
        <v>0</v>
      </c>
      <c r="C48" s="33">
        <f>+SUM(C37:F37)</f>
        <v>0</v>
      </c>
      <c r="D48" s="33">
        <f>+SUM(D37:G37)</f>
        <v>0</v>
      </c>
      <c r="E48" s="33">
        <f>+SUM(E37:H37)</f>
        <v>0</v>
      </c>
      <c r="F48" s="33">
        <f>+SUM(F37:I37)</f>
        <v>0</v>
      </c>
    </row>
    <row r="50" spans="1:9" s="37" customFormat="1">
      <c r="A50" s="37" t="s">
        <v>78</v>
      </c>
      <c r="B50" s="37" t="e">
        <f>+SUM(B39:B40)/B47</f>
        <v>#DIV/0!</v>
      </c>
      <c r="C50" s="37" t="e">
        <f>+SUM(C39:C40)/C47</f>
        <v>#DIV/0!</v>
      </c>
      <c r="D50" s="37" t="e">
        <f>+SUM(D39:D40)/D47</f>
        <v>#DIV/0!</v>
      </c>
      <c r="E50" s="37" t="e">
        <f>+SUM(E39:E40)/E47</f>
        <v>#DIV/0!</v>
      </c>
      <c r="F50" s="37" t="e">
        <f>+SUM(F39:F40)/F47</f>
        <v>#DIV/0!</v>
      </c>
    </row>
    <row r="51" spans="1:9" s="37" customFormat="1">
      <c r="A51" s="37" t="s">
        <v>79</v>
      </c>
      <c r="B51" s="37" t="e">
        <f>+B41/B47</f>
        <v>#DIV/0!</v>
      </c>
      <c r="C51" s="37" t="e">
        <f>+C41/C47</f>
        <v>#DIV/0!</v>
      </c>
      <c r="D51" s="37" t="e">
        <f>+D41/D47</f>
        <v>#DIV/0!</v>
      </c>
      <c r="E51" s="37" t="e">
        <f>+E41/E47</f>
        <v>#DIV/0!</v>
      </c>
      <c r="F51" s="37" t="e">
        <f>+F41/F47</f>
        <v>#DIV/0!</v>
      </c>
    </row>
    <row r="52" spans="1:9" s="37" customFormat="1">
      <c r="A52" s="37" t="s">
        <v>80</v>
      </c>
      <c r="B52" s="37" t="e">
        <f>+(B41-B44)/B47</f>
        <v>#DIV/0!</v>
      </c>
      <c r="C52" s="37" t="e">
        <f>+(C41-C44)/C47</f>
        <v>#DIV/0!</v>
      </c>
      <c r="D52" s="37" t="e">
        <f>+(D41-D44)/D47</f>
        <v>#DIV/0!</v>
      </c>
      <c r="E52" s="37" t="e">
        <f>+(E41-E44)/E47</f>
        <v>#DIV/0!</v>
      </c>
      <c r="F52" s="37" t="e">
        <f>+(F41-F44)/F47</f>
        <v>#DIV/0!</v>
      </c>
    </row>
    <row r="53" spans="1:9" s="38" customFormat="1">
      <c r="A53" s="38" t="s">
        <v>81</v>
      </c>
      <c r="B53" s="38" t="e">
        <f>+B48/B41</f>
        <v>#DIV/0!</v>
      </c>
      <c r="C53" s="38" t="e">
        <f>+C48/C41</f>
        <v>#DIV/0!</v>
      </c>
      <c r="D53" s="38" t="e">
        <f>+D48/D41</f>
        <v>#DIV/0!</v>
      </c>
      <c r="E53" s="38" t="e">
        <f>+E48/E41</f>
        <v>#DIV/0!</v>
      </c>
      <c r="F53" s="38" t="e">
        <f>+F48/F41</f>
        <v>#DIV/0!</v>
      </c>
    </row>
    <row r="54" spans="1:9" s="38" customFormat="1">
      <c r="A54" s="39" t="s">
        <v>82</v>
      </c>
      <c r="B54" s="40"/>
      <c r="C54" s="40"/>
      <c r="D54" s="40"/>
      <c r="E54" s="40"/>
      <c r="F54" s="40"/>
      <c r="G54" s="39"/>
      <c r="H54" s="39"/>
      <c r="I54" s="39"/>
    </row>
    <row r="55" spans="1:9" s="38" customFormat="1">
      <c r="A55" s="38" t="s">
        <v>83</v>
      </c>
      <c r="B55" s="41" t="str">
        <f>IF(B42=0,IF(B54="","","*"&amp;TEXT(B54,"0.0x")),(B41+B42-B44)/B47)</f>
        <v/>
      </c>
      <c r="C55" s="41" t="str">
        <f>IF(C42=0,IF(C54="","","*"&amp;TEXT(C54,"0.0x")),(C41+C42-C44)/C47)</f>
        <v/>
      </c>
      <c r="D55" s="41" t="str">
        <f>IF(D42=0,IF(D54="","","*"&amp;TEXT(D54,"0.0x")),(D41+D42-D44)/D47)</f>
        <v/>
      </c>
      <c r="E55" s="41" t="str">
        <f>IF(E42=0,IF(E54="","","*"&amp;TEXT(E54,"0.0x")),(E41+E42-E44)/E47)</f>
        <v/>
      </c>
      <c r="F55" s="41" t="str">
        <f>IF(F42=0,IF(F54="","","*"&amp;TEXT(F54,"0.0x")),(F41+F42-F44)/F47)</f>
        <v/>
      </c>
      <c r="G55" s="41" t="str">
        <f>IF(G42=0,IF(G54="","",CONCATENATE("* ",G54,"x")),(G41+G42-G44)/G47)</f>
        <v/>
      </c>
      <c r="H55" s="41" t="str">
        <f>IF(H42=0,IF(H54="","",CONCATENATE("* ",H54,"x")),(H41+H42-H44)/H47)</f>
        <v/>
      </c>
      <c r="I55" s="41" t="str">
        <f>IF(I42=0,IF(I54="","",CONCATENATE("* ",I54,"x")),(I41+I42-I44)/I47)</f>
        <v/>
      </c>
    </row>
    <row r="56" spans="1:9">
      <c r="F56" s="42"/>
    </row>
    <row r="57" spans="1:9" ht="80.25" customHeight="1">
      <c r="A57" s="43" t="s">
        <v>84</v>
      </c>
      <c r="B57" s="44"/>
      <c r="C57" s="44"/>
      <c r="D57" s="44"/>
      <c r="E57" s="44"/>
      <c r="F57" s="44"/>
      <c r="G57" s="44"/>
      <c r="H57" s="44"/>
      <c r="I57" s="44"/>
    </row>
    <row r="58" spans="1:9">
      <c r="A58" s="45"/>
      <c r="B58" s="42"/>
    </row>
    <row r="59" spans="1:9">
      <c r="A59" s="4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AA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24" width="10.6640625" style="14" customWidth="1"/>
    <col min="25" max="27" width="9.109375" style="14"/>
    <col min="28" max="28" width="9.44140625" style="14" bestFit="1" customWidth="1"/>
    <col min="29" max="29" width="9.109375" style="14"/>
    <col min="30" max="30" width="9.44140625" style="14" bestFit="1" customWidth="1"/>
    <col min="31" max="31" width="9.109375" style="14"/>
    <col min="32" max="32" width="9.44140625" style="14" bestFit="1" customWidth="1"/>
    <col min="33" max="16384" width="9.109375" style="14"/>
  </cols>
  <sheetData>
    <row r="2" spans="1:24">
      <c r="A2" s="13" t="s">
        <v>44</v>
      </c>
      <c r="B2" s="14" t="s">
        <v>510</v>
      </c>
    </row>
    <row r="3" spans="1:24" s="16" customFormat="1">
      <c r="A3" s="15" t="s">
        <v>45</v>
      </c>
      <c r="B3" s="16" t="s">
        <v>128</v>
      </c>
    </row>
    <row r="4" spans="1:24">
      <c r="A4" s="13" t="s">
        <v>2</v>
      </c>
      <c r="B4" s="14" t="s">
        <v>4</v>
      </c>
    </row>
    <row r="5" spans="1:24">
      <c r="A5" s="13" t="s">
        <v>46</v>
      </c>
    </row>
    <row r="6" spans="1:24">
      <c r="A6" s="13" t="s">
        <v>47</v>
      </c>
      <c r="B6" s="14">
        <v>3</v>
      </c>
    </row>
    <row r="7" spans="1:24">
      <c r="A7" s="13" t="s">
        <v>48</v>
      </c>
      <c r="B7" s="14" t="s">
        <v>465</v>
      </c>
    </row>
    <row r="8" spans="1:24">
      <c r="A8" s="13" t="s">
        <v>347</v>
      </c>
      <c r="B8" s="14" t="s">
        <v>393</v>
      </c>
    </row>
    <row r="9" spans="1:24">
      <c r="A9" s="17"/>
    </row>
    <row r="10" spans="1:24">
      <c r="A10" s="17" t="s">
        <v>49</v>
      </c>
      <c r="B10" s="18">
        <v>44286</v>
      </c>
      <c r="C10" s="18">
        <v>44196</v>
      </c>
      <c r="D10" s="18">
        <v>44104</v>
      </c>
      <c r="E10" s="18">
        <v>44012</v>
      </c>
      <c r="F10" s="18">
        <v>43921</v>
      </c>
      <c r="G10" s="18">
        <v>43830</v>
      </c>
      <c r="H10" s="18">
        <v>43738</v>
      </c>
      <c r="I10" s="18">
        <v>43646</v>
      </c>
      <c r="J10" s="18">
        <v>43555</v>
      </c>
      <c r="K10" s="18">
        <v>43465</v>
      </c>
      <c r="L10" s="18">
        <v>43373</v>
      </c>
      <c r="M10" s="18">
        <v>43281</v>
      </c>
      <c r="N10" s="18">
        <v>43190</v>
      </c>
      <c r="O10" s="18">
        <v>43100</v>
      </c>
      <c r="P10" s="18">
        <v>43008</v>
      </c>
      <c r="Q10" s="18">
        <v>42916</v>
      </c>
      <c r="R10" s="18">
        <v>42825</v>
      </c>
      <c r="S10" s="18">
        <v>42735</v>
      </c>
      <c r="T10" s="18">
        <v>42643</v>
      </c>
      <c r="U10" s="18">
        <v>42551</v>
      </c>
      <c r="V10" s="18">
        <v>42460</v>
      </c>
      <c r="W10" s="18">
        <v>42369</v>
      </c>
      <c r="X10" s="18">
        <v>42277</v>
      </c>
    </row>
    <row r="12" spans="1:24">
      <c r="A12" s="19" t="s">
        <v>50</v>
      </c>
      <c r="B12" s="36">
        <v>117.503</v>
      </c>
      <c r="C12" s="36">
        <v>101.066</v>
      </c>
      <c r="D12" s="36">
        <v>148.70400000000001</v>
      </c>
      <c r="E12" s="36">
        <v>114.89400000000001</v>
      </c>
      <c r="F12" s="36">
        <v>102.376</v>
      </c>
      <c r="G12" s="36">
        <v>102.23099999999999</v>
      </c>
      <c r="H12" s="36">
        <v>151.40899999999999</v>
      </c>
      <c r="I12" s="36">
        <v>129.68899999999999</v>
      </c>
      <c r="J12" s="36">
        <v>113.53400000000001</v>
      </c>
      <c r="K12" s="36">
        <v>93.224000000000004</v>
      </c>
      <c r="L12" s="36">
        <v>161.91300000000001</v>
      </c>
      <c r="M12" s="20">
        <v>126.971</v>
      </c>
      <c r="N12" s="20">
        <v>113.07</v>
      </c>
      <c r="O12" s="20">
        <v>97.820999999999998</v>
      </c>
      <c r="P12" s="20">
        <v>188.00200000000001</v>
      </c>
      <c r="Q12" s="20">
        <v>109.455</v>
      </c>
      <c r="R12" s="20">
        <v>86.308000000000007</v>
      </c>
      <c r="S12" s="20">
        <v>67.3</v>
      </c>
      <c r="T12" s="20">
        <v>116.94799999999999</v>
      </c>
      <c r="U12" s="20">
        <v>97.170100000000005</v>
      </c>
      <c r="V12" s="20">
        <v>95.224999999999994</v>
      </c>
      <c r="W12" s="20">
        <v>68.631</v>
      </c>
      <c r="X12" s="20">
        <v>136.214</v>
      </c>
    </row>
    <row r="13" spans="1:24" s="21" customFormat="1">
      <c r="A13" s="21" t="s">
        <v>51</v>
      </c>
      <c r="B13" s="21">
        <f t="shared" ref="B13:T13" si="0">+B12/F12-1</f>
        <v>0.14775924044697963</v>
      </c>
      <c r="C13" s="21">
        <f t="shared" si="0"/>
        <v>-1.1395760581428216E-2</v>
      </c>
      <c r="D13" s="21">
        <f t="shared" si="0"/>
        <v>-1.7865516580916507E-2</v>
      </c>
      <c r="E13" s="21">
        <f t="shared" si="0"/>
        <v>-0.11408060822429034</v>
      </c>
      <c r="F13" s="21">
        <f t="shared" si="0"/>
        <v>-9.8278929659837533E-2</v>
      </c>
      <c r="G13" s="21">
        <f t="shared" si="0"/>
        <v>9.6616751051231242E-2</v>
      </c>
      <c r="H13" s="21">
        <f t="shared" si="0"/>
        <v>-6.4874346099448532E-2</v>
      </c>
      <c r="I13" s="21">
        <f t="shared" si="0"/>
        <v>2.1406462893101441E-2</v>
      </c>
      <c r="J13" s="21">
        <f t="shared" si="0"/>
        <v>4.1036526045814536E-3</v>
      </c>
      <c r="K13" s="21">
        <f t="shared" si="0"/>
        <v>-4.6993999243516105E-2</v>
      </c>
      <c r="L13" s="21">
        <f t="shared" si="0"/>
        <v>-0.13876980032127317</v>
      </c>
      <c r="M13" s="21">
        <f t="shared" si="0"/>
        <v>0.16002923575898786</v>
      </c>
      <c r="N13" s="21">
        <f t="shared" si="0"/>
        <v>0.31007554340269716</v>
      </c>
      <c r="O13" s="21">
        <f t="shared" si="0"/>
        <v>0.45350668647845471</v>
      </c>
      <c r="P13" s="21">
        <f t="shared" si="0"/>
        <v>0.60756917604405403</v>
      </c>
      <c r="Q13" s="21">
        <f t="shared" si="0"/>
        <v>0.12642675061567288</v>
      </c>
      <c r="R13" s="21">
        <f t="shared" si="0"/>
        <v>-9.3641375689157091E-2</v>
      </c>
      <c r="S13" s="21">
        <f t="shared" si="0"/>
        <v>-1.9393568504028846E-2</v>
      </c>
      <c r="T13" s="21">
        <f t="shared" si="0"/>
        <v>-0.14143920595533499</v>
      </c>
    </row>
    <row r="14" spans="1:24"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t="s">
        <v>3</v>
      </c>
      <c r="P14" s="23" t="s">
        <v>3</v>
      </c>
      <c r="Q14" s="23" t="s">
        <v>3</v>
      </c>
      <c r="R14" s="23" t="s">
        <v>3</v>
      </c>
      <c r="S14" s="23" t="s">
        <v>3</v>
      </c>
      <c r="T14" s="23" t="s">
        <v>3</v>
      </c>
      <c r="U14" s="22"/>
      <c r="V14" s="22"/>
      <c r="W14" s="22"/>
      <c r="X14" s="22"/>
    </row>
    <row r="16" spans="1:24" s="17" customFormat="1">
      <c r="A16" s="25" t="s">
        <v>53</v>
      </c>
      <c r="B16" s="26">
        <v>28.552</v>
      </c>
      <c r="C16" s="26">
        <v>25.704999999999998</v>
      </c>
      <c r="D16" s="26">
        <f t="shared" ref="D16:J16" si="1">D22-D21-D20-D19</f>
        <v>39.685999999999993</v>
      </c>
      <c r="E16" s="26">
        <v>31.193000000000001</v>
      </c>
      <c r="F16" s="26">
        <v>19.010000000000002</v>
      </c>
      <c r="G16" s="26">
        <v>14.429</v>
      </c>
      <c r="H16" s="26">
        <f t="shared" si="1"/>
        <v>38.944000000000003</v>
      </c>
      <c r="I16" s="26">
        <v>30.381</v>
      </c>
      <c r="J16" s="26">
        <f t="shared" si="1"/>
        <v>16.366</v>
      </c>
      <c r="K16" s="26">
        <v>13.040999999999997</v>
      </c>
      <c r="L16" s="26">
        <v>34.170999999999999</v>
      </c>
      <c r="M16" s="26">
        <v>29.516999999999999</v>
      </c>
      <c r="N16" s="26">
        <v>19.646000000000001</v>
      </c>
      <c r="O16" s="26">
        <v>15.026999999999999</v>
      </c>
      <c r="P16" s="26">
        <v>34.893000000000001</v>
      </c>
      <c r="Q16" s="26">
        <v>24.689</v>
      </c>
      <c r="R16" s="26">
        <v>14.103999999999999</v>
      </c>
      <c r="S16" s="26">
        <v>12.039</v>
      </c>
      <c r="T16" s="26">
        <v>15.725</v>
      </c>
      <c r="U16" s="26">
        <v>22.452999999999999</v>
      </c>
      <c r="V16" s="26">
        <v>20.276</v>
      </c>
      <c r="W16" s="26">
        <v>10.38</v>
      </c>
      <c r="X16" s="26">
        <v>28.562999999999995</v>
      </c>
    </row>
    <row r="17" spans="1:24" s="21" customFormat="1">
      <c r="A17" s="21" t="s">
        <v>54</v>
      </c>
      <c r="B17" s="21">
        <f t="shared" ref="B17" si="2">+B16/B12</f>
        <v>0.24298954069257805</v>
      </c>
      <c r="C17" s="21">
        <f t="shared" ref="C17:D17" si="3">+C16/C12</f>
        <v>0.25433874893633862</v>
      </c>
      <c r="D17" s="21">
        <f t="shared" si="3"/>
        <v>0.26687916935657408</v>
      </c>
      <c r="E17" s="21">
        <f t="shared" ref="E17:F17" si="4">+E16/E12</f>
        <v>0.27149372465054744</v>
      </c>
      <c r="F17" s="21">
        <f t="shared" si="4"/>
        <v>0.18568805188716106</v>
      </c>
      <c r="G17" s="21">
        <f t="shared" ref="G17:H17" si="5">+G16/G12</f>
        <v>0.14114114114114115</v>
      </c>
      <c r="H17" s="21">
        <f t="shared" si="5"/>
        <v>0.25721060174758437</v>
      </c>
      <c r="I17" s="21">
        <f t="shared" ref="I17:Q17" si="6">+I16/I12</f>
        <v>0.23426042301197481</v>
      </c>
      <c r="J17" s="21">
        <f t="shared" si="6"/>
        <v>0.14415065090633641</v>
      </c>
      <c r="K17" s="21">
        <f t="shared" si="6"/>
        <v>0.1398888698189307</v>
      </c>
      <c r="L17" s="21">
        <f t="shared" si="6"/>
        <v>0.21104543798212619</v>
      </c>
      <c r="M17" s="21">
        <f t="shared" si="6"/>
        <v>0.23247040662828519</v>
      </c>
      <c r="N17" s="21">
        <f t="shared" si="6"/>
        <v>0.17375077385690282</v>
      </c>
      <c r="O17" s="21">
        <f t="shared" si="6"/>
        <v>0.15361732143404791</v>
      </c>
      <c r="P17" s="21">
        <f t="shared" si="6"/>
        <v>0.18559908937138966</v>
      </c>
      <c r="Q17" s="21">
        <f t="shared" si="6"/>
        <v>0.22556301676488055</v>
      </c>
      <c r="R17" s="21">
        <f t="shared" ref="R17:X17" si="7">+R16/R12</f>
        <v>0.163414747184502</v>
      </c>
      <c r="S17" s="21">
        <f t="shared" si="7"/>
        <v>0.17888558692421991</v>
      </c>
      <c r="T17" s="21">
        <f t="shared" si="7"/>
        <v>0.1344614700550672</v>
      </c>
      <c r="U17" s="21">
        <f t="shared" si="7"/>
        <v>0.23106902226096299</v>
      </c>
      <c r="V17" s="21">
        <f t="shared" si="7"/>
        <v>0.21292727750065635</v>
      </c>
      <c r="W17" s="21">
        <f t="shared" si="7"/>
        <v>0.15124360711631771</v>
      </c>
      <c r="X17" s="21">
        <f t="shared" si="7"/>
        <v>0.20969210213340769</v>
      </c>
    </row>
    <row r="18" spans="1:24" s="24" customFormat="1"/>
    <row r="19" spans="1:24"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row>
    <row r="20" spans="1:24"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row>
    <row r="21" spans="1:24" s="24" customFormat="1">
      <c r="A21" s="19" t="s">
        <v>57</v>
      </c>
      <c r="B21" s="20">
        <v>0</v>
      </c>
      <c r="C21" s="20">
        <v>0</v>
      </c>
      <c r="D21" s="20">
        <v>0</v>
      </c>
      <c r="E21" s="20">
        <v>0</v>
      </c>
      <c r="F21" s="20">
        <v>0</v>
      </c>
      <c r="G21" s="20">
        <v>0</v>
      </c>
      <c r="H21" s="20">
        <v>0</v>
      </c>
      <c r="I21" s="20">
        <v>0</v>
      </c>
      <c r="J21" s="20">
        <f>0.954+0.082+0.511+0.195+0.005+0.065</f>
        <v>1.8120000000000001</v>
      </c>
      <c r="K21" s="20">
        <f t="shared" ref="K21:X21" si="8">K22-K16-K19-K20</f>
        <v>1.5649999999999995</v>
      </c>
      <c r="L21" s="20">
        <f t="shared" si="8"/>
        <v>7.7509999999999977</v>
      </c>
      <c r="M21" s="20">
        <f t="shared" si="8"/>
        <v>1.2740000000000009</v>
      </c>
      <c r="N21" s="20">
        <f t="shared" si="8"/>
        <v>1.1149999999999984</v>
      </c>
      <c r="O21" s="20">
        <f t="shared" si="8"/>
        <v>1.0830000000000002</v>
      </c>
      <c r="P21" s="20">
        <f t="shared" si="8"/>
        <v>11.161000000000001</v>
      </c>
      <c r="Q21" s="20">
        <f t="shared" si="8"/>
        <v>1.0410000000000004</v>
      </c>
      <c r="R21" s="20">
        <f t="shared" si="8"/>
        <v>0.93599999999999994</v>
      </c>
      <c r="S21" s="20">
        <f t="shared" si="8"/>
        <v>0.74800000000000111</v>
      </c>
      <c r="T21" s="20">
        <f t="shared" si="8"/>
        <v>13.488000000000001</v>
      </c>
      <c r="U21" s="20">
        <f t="shared" si="8"/>
        <v>0.83399999999999963</v>
      </c>
      <c r="V21" s="20">
        <f t="shared" si="8"/>
        <v>0.7970000000000006</v>
      </c>
      <c r="W21" s="20">
        <f t="shared" si="8"/>
        <v>0.79199999999999982</v>
      </c>
      <c r="X21" s="20">
        <f t="shared" si="8"/>
        <v>4.7290000000000063</v>
      </c>
    </row>
    <row r="22" spans="1:24" s="17" customFormat="1">
      <c r="A22" s="17" t="s">
        <v>58</v>
      </c>
      <c r="B22" s="27">
        <f>B16+B19+B20+B21</f>
        <v>28.552</v>
      </c>
      <c r="C22" s="27">
        <f>C16+C19+C20+C21</f>
        <v>25.704999999999998</v>
      </c>
      <c r="D22" s="27">
        <f>D24-E22-F22-G22</f>
        <v>39.685999999999993</v>
      </c>
      <c r="E22" s="27">
        <f>E16+E19+E20+E21</f>
        <v>31.193000000000001</v>
      </c>
      <c r="F22" s="27">
        <f>F16+F19+F20+F21</f>
        <v>19.010000000000002</v>
      </c>
      <c r="G22" s="27">
        <f>G16+G19+G20+G21</f>
        <v>14.429</v>
      </c>
      <c r="H22" s="27">
        <f>102.109-I22-J22-K22</f>
        <v>38.944000000000003</v>
      </c>
      <c r="I22" s="27">
        <f>I16+I19+I20+I21</f>
        <v>30.381</v>
      </c>
      <c r="J22" s="27">
        <v>18.178000000000001</v>
      </c>
      <c r="K22" s="27">
        <v>14.605999999999996</v>
      </c>
      <c r="L22" s="27">
        <v>41.921999999999997</v>
      </c>
      <c r="M22" s="27">
        <v>30.791</v>
      </c>
      <c r="N22" s="27">
        <v>20.760999999999999</v>
      </c>
      <c r="O22" s="27">
        <v>16.11</v>
      </c>
      <c r="P22" s="27">
        <v>46.054000000000002</v>
      </c>
      <c r="Q22" s="27">
        <v>25.73</v>
      </c>
      <c r="R22" s="27">
        <v>15.04</v>
      </c>
      <c r="S22" s="27">
        <v>12.787000000000001</v>
      </c>
      <c r="T22" s="27">
        <v>29.213000000000001</v>
      </c>
      <c r="U22" s="27">
        <v>23.286999999999999</v>
      </c>
      <c r="V22" s="27">
        <v>21.073</v>
      </c>
      <c r="W22" s="27">
        <v>11.172000000000001</v>
      </c>
      <c r="X22" s="27">
        <v>33.292000000000002</v>
      </c>
    </row>
    <row r="23" spans="1:24" s="17" customFormat="1">
      <c r="B23" s="27"/>
      <c r="C23" s="27"/>
      <c r="D23" s="27"/>
      <c r="E23" s="27"/>
      <c r="F23" s="27"/>
      <c r="G23" s="27"/>
      <c r="H23" s="27"/>
      <c r="I23" s="27"/>
      <c r="J23" s="27"/>
      <c r="K23" s="27"/>
      <c r="L23" s="27"/>
      <c r="M23" s="27"/>
      <c r="N23" s="27"/>
      <c r="O23" s="27"/>
      <c r="P23" s="27"/>
      <c r="Q23" s="27"/>
      <c r="R23" s="27"/>
      <c r="S23" s="27"/>
      <c r="T23" s="27"/>
      <c r="U23" s="27"/>
      <c r="V23" s="27"/>
      <c r="W23" s="27"/>
      <c r="X23" s="27"/>
    </row>
    <row r="24" spans="1:24" s="17" customFormat="1">
      <c r="A24" s="17" t="s">
        <v>59</v>
      </c>
      <c r="B24" s="27">
        <f t="shared" ref="B24:U24" si="9">SUM(B22:E22)</f>
        <v>125.13599999999998</v>
      </c>
      <c r="C24" s="27">
        <f t="shared" si="9"/>
        <v>115.59399999999999</v>
      </c>
      <c r="D24" s="46">
        <f>104.318</f>
        <v>104.318</v>
      </c>
      <c r="E24" s="27">
        <f t="shared" si="9"/>
        <v>103.57600000000001</v>
      </c>
      <c r="F24" s="27">
        <f t="shared" si="9"/>
        <v>102.76400000000001</v>
      </c>
      <c r="G24" s="27">
        <f t="shared" si="9"/>
        <v>101.932</v>
      </c>
      <c r="H24" s="27">
        <f t="shared" si="9"/>
        <v>102.10899999999999</v>
      </c>
      <c r="I24" s="27">
        <f t="shared" si="9"/>
        <v>105.08699999999999</v>
      </c>
      <c r="J24" s="27">
        <f t="shared" si="9"/>
        <v>105.49699999999999</v>
      </c>
      <c r="K24" s="27">
        <f t="shared" si="9"/>
        <v>108.07999999999998</v>
      </c>
      <c r="L24" s="27">
        <f t="shared" si="9"/>
        <v>109.58399999999999</v>
      </c>
      <c r="M24" s="27">
        <f t="shared" si="9"/>
        <v>113.71600000000001</v>
      </c>
      <c r="N24" s="27">
        <f t="shared" si="9"/>
        <v>108.655</v>
      </c>
      <c r="O24" s="27">
        <f t="shared" si="9"/>
        <v>102.934</v>
      </c>
      <c r="P24" s="27">
        <f t="shared" si="9"/>
        <v>99.611000000000018</v>
      </c>
      <c r="Q24" s="27">
        <f t="shared" si="9"/>
        <v>82.77</v>
      </c>
      <c r="R24" s="27">
        <f t="shared" si="9"/>
        <v>80.326999999999998</v>
      </c>
      <c r="S24" s="27">
        <f t="shared" si="9"/>
        <v>86.360000000000014</v>
      </c>
      <c r="T24" s="27">
        <f t="shared" si="9"/>
        <v>84.745000000000005</v>
      </c>
      <c r="U24" s="27">
        <f t="shared" si="9"/>
        <v>88.823999999999998</v>
      </c>
      <c r="V24" s="27"/>
      <c r="W24" s="27"/>
      <c r="X24" s="27"/>
    </row>
    <row r="25" spans="1:24" s="24" customFormat="1">
      <c r="A25" s="19" t="s">
        <v>60</v>
      </c>
      <c r="B25" s="28">
        <f>125.137-B24</f>
        <v>1.0000000000189857E-3</v>
      </c>
      <c r="C25" s="28">
        <v>0</v>
      </c>
      <c r="D25" s="28">
        <v>0</v>
      </c>
      <c r="E25" s="28">
        <f>103.575-E24</f>
        <v>-1.0000000000047748E-3</v>
      </c>
      <c r="F25" s="28">
        <f>102.767-F24</f>
        <v>2.9999999999859028E-3</v>
      </c>
      <c r="G25" s="28">
        <v>0</v>
      </c>
      <c r="H25" s="28">
        <v>0</v>
      </c>
      <c r="I25" s="28">
        <f>105.086-I24</f>
        <v>-9.9999999999056399E-4</v>
      </c>
      <c r="J25" s="28">
        <f>107.13-J24</f>
        <v>1.6330000000000098</v>
      </c>
      <c r="K25" s="28">
        <f>110.988-K24</f>
        <v>2.9080000000000155</v>
      </c>
      <c r="L25" s="28">
        <f>114.094-L24</f>
        <v>4.5100000000000051</v>
      </c>
      <c r="M25" s="28">
        <v>0</v>
      </c>
      <c r="N25" s="28">
        <v>0</v>
      </c>
      <c r="O25" s="28">
        <v>0</v>
      </c>
      <c r="P25" s="28">
        <v>0</v>
      </c>
      <c r="Q25" s="28">
        <v>0</v>
      </c>
      <c r="R25" s="28">
        <v>0</v>
      </c>
      <c r="S25" s="28">
        <v>0</v>
      </c>
      <c r="T25" s="28">
        <v>0</v>
      </c>
      <c r="U25" s="28">
        <v>0</v>
      </c>
      <c r="V25" s="28"/>
      <c r="W25" s="28"/>
      <c r="X25" s="28"/>
    </row>
    <row r="26" spans="1:24" s="24" customFormat="1">
      <c r="A26" s="19" t="s">
        <v>61</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v>0</v>
      </c>
      <c r="S26" s="29">
        <v>0</v>
      </c>
      <c r="T26" s="29">
        <v>0</v>
      </c>
      <c r="U26" s="29">
        <v>0</v>
      </c>
      <c r="V26" s="30"/>
      <c r="W26" s="30"/>
      <c r="X26" s="30"/>
    </row>
    <row r="27" spans="1:24" s="32" customFormat="1">
      <c r="A27" s="17" t="s">
        <v>62</v>
      </c>
      <c r="B27" s="27">
        <f t="shared" ref="B27" si="10">SUM(B24:B26)</f>
        <v>125.137</v>
      </c>
      <c r="C27" s="27">
        <f t="shared" ref="C27:D27" si="11">SUM(C24:C26)</f>
        <v>115.59399999999999</v>
      </c>
      <c r="D27" s="27">
        <f t="shared" si="11"/>
        <v>104.318</v>
      </c>
      <c r="E27" s="27">
        <f t="shared" ref="E27:F27" si="12">SUM(E24:E26)</f>
        <v>103.575</v>
      </c>
      <c r="F27" s="27">
        <f t="shared" si="12"/>
        <v>102.767</v>
      </c>
      <c r="G27" s="27">
        <f t="shared" ref="G27:H27" si="13">SUM(G24:G26)</f>
        <v>101.932</v>
      </c>
      <c r="H27" s="27">
        <f t="shared" si="13"/>
        <v>102.10899999999999</v>
      </c>
      <c r="I27" s="27">
        <f t="shared" ref="I27:K27" si="14">SUM(I24:I26)</f>
        <v>105.086</v>
      </c>
      <c r="J27" s="27">
        <f t="shared" si="14"/>
        <v>107.13</v>
      </c>
      <c r="K27" s="27">
        <f t="shared" si="14"/>
        <v>110.988</v>
      </c>
      <c r="L27" s="27">
        <f t="shared" ref="L27" si="15">SUM(L24:L26)</f>
        <v>114.09399999999999</v>
      </c>
      <c r="M27" s="27">
        <f t="shared" ref="M27:U27" si="16">SUM(M24:M26)</f>
        <v>113.71600000000001</v>
      </c>
      <c r="N27" s="27">
        <f t="shared" si="16"/>
        <v>108.655</v>
      </c>
      <c r="O27" s="27">
        <f t="shared" si="16"/>
        <v>102.934</v>
      </c>
      <c r="P27" s="27">
        <f t="shared" si="16"/>
        <v>99.611000000000018</v>
      </c>
      <c r="Q27" s="27">
        <f t="shared" si="16"/>
        <v>82.77</v>
      </c>
      <c r="R27" s="27">
        <f t="shared" si="16"/>
        <v>80.326999999999998</v>
      </c>
      <c r="S27" s="27">
        <f t="shared" si="16"/>
        <v>86.360000000000014</v>
      </c>
      <c r="T27" s="27">
        <f t="shared" si="16"/>
        <v>84.745000000000005</v>
      </c>
      <c r="U27" s="27">
        <f t="shared" si="16"/>
        <v>88.823999999999998</v>
      </c>
      <c r="V27" s="31"/>
      <c r="W27" s="31"/>
      <c r="X27" s="31"/>
    </row>
    <row r="28" spans="1:24" s="24" customFormat="1"/>
    <row r="29" spans="1:24" s="17" customFormat="1">
      <c r="A29" s="17" t="s">
        <v>58</v>
      </c>
      <c r="B29" s="27">
        <f t="shared" ref="B29" si="17">B22</f>
        <v>28.552</v>
      </c>
      <c r="C29" s="27">
        <f t="shared" ref="C29:D29" si="18">C22</f>
        <v>25.704999999999998</v>
      </c>
      <c r="D29" s="27">
        <f t="shared" si="18"/>
        <v>39.685999999999993</v>
      </c>
      <c r="E29" s="27">
        <f t="shared" ref="E29:F29" si="19">E22</f>
        <v>31.193000000000001</v>
      </c>
      <c r="F29" s="27">
        <f t="shared" si="19"/>
        <v>19.010000000000002</v>
      </c>
      <c r="G29" s="27">
        <f t="shared" ref="G29:P29" si="20">G22</f>
        <v>14.429</v>
      </c>
      <c r="H29" s="27">
        <f t="shared" si="20"/>
        <v>38.944000000000003</v>
      </c>
      <c r="I29" s="27">
        <f t="shared" si="20"/>
        <v>30.381</v>
      </c>
      <c r="J29" s="27">
        <f t="shared" si="20"/>
        <v>18.178000000000001</v>
      </c>
      <c r="K29" s="27">
        <f t="shared" si="20"/>
        <v>14.605999999999996</v>
      </c>
      <c r="L29" s="27">
        <f t="shared" si="20"/>
        <v>41.921999999999997</v>
      </c>
      <c r="M29" s="27">
        <f t="shared" si="20"/>
        <v>30.791</v>
      </c>
      <c r="N29" s="27">
        <f t="shared" si="20"/>
        <v>20.760999999999999</v>
      </c>
      <c r="O29" s="27">
        <f t="shared" si="20"/>
        <v>16.11</v>
      </c>
      <c r="P29" s="27">
        <f t="shared" si="20"/>
        <v>46.054000000000002</v>
      </c>
      <c r="Q29" s="27">
        <f t="shared" ref="Q29:X29" si="21">Q22</f>
        <v>25.73</v>
      </c>
      <c r="R29" s="27">
        <f t="shared" si="21"/>
        <v>15.04</v>
      </c>
      <c r="S29" s="27">
        <f t="shared" si="21"/>
        <v>12.787000000000001</v>
      </c>
      <c r="T29" s="27">
        <f t="shared" si="21"/>
        <v>29.213000000000001</v>
      </c>
      <c r="U29" s="27">
        <f t="shared" si="21"/>
        <v>23.286999999999999</v>
      </c>
      <c r="V29" s="27">
        <f t="shared" si="21"/>
        <v>21.073</v>
      </c>
      <c r="W29" s="27">
        <f t="shared" si="21"/>
        <v>11.172000000000001</v>
      </c>
      <c r="X29" s="27">
        <f t="shared" si="21"/>
        <v>33.292000000000002</v>
      </c>
    </row>
    <row r="30" spans="1:24" s="33" customFormat="1">
      <c r="A30" s="20" t="s">
        <v>63</v>
      </c>
      <c r="B30" s="20">
        <f>-17.489+1.439-C30</f>
        <v>-5.995000000000001</v>
      </c>
      <c r="C30" s="20">
        <f>-10.781+0.726</f>
        <v>-10.055</v>
      </c>
      <c r="D30" s="20">
        <f>-43.707-E30-F30-G30</f>
        <v>5.6649999999999991</v>
      </c>
      <c r="E30" s="20">
        <f>-51.434+2.062-F30-G30</f>
        <v>-12.512999999999998</v>
      </c>
      <c r="F30" s="20">
        <f>-38.225+1.366-G30</f>
        <v>-26.104000000000003</v>
      </c>
      <c r="G30" s="20">
        <f>-11.436+0.681</f>
        <v>-10.754999999999999</v>
      </c>
      <c r="H30" s="20">
        <f>-49.389-3.438-I30-J30-K30</f>
        <v>7.5509999999999948</v>
      </c>
      <c r="I30" s="20">
        <f>-62.443+2.065-J30-K30</f>
        <v>-31.91</v>
      </c>
      <c r="J30" s="20">
        <f>-44.606+14.727+1.411-K30</f>
        <v>-1.1099999999999994</v>
      </c>
      <c r="K30" s="20">
        <f>-27.802+0.444</f>
        <v>-27.358000000000001</v>
      </c>
      <c r="L30" s="20">
        <f>-33.231-M30-N30-O30</f>
        <v>-8.411999999999999</v>
      </c>
      <c r="M30" s="20">
        <f>-27.321+2.502-N30-O30</f>
        <v>-6.4820000000000029</v>
      </c>
      <c r="N30" s="20">
        <f>-18.337-O30</f>
        <v>-10.145</v>
      </c>
      <c r="O30" s="20">
        <f>-9.026+0.834</f>
        <v>-8.1920000000000002</v>
      </c>
      <c r="P30" s="20">
        <f>-30.19-Q30-R30-S30</f>
        <v>-8.1219999999999981</v>
      </c>
      <c r="Q30" s="20">
        <f>-23.905+1.837-R30-S30-T30</f>
        <v>-6.8690000000000015</v>
      </c>
      <c r="R30" s="20">
        <f>-16.424+1.225-S30</f>
        <v>-7.8079999999999998</v>
      </c>
      <c r="S30" s="20">
        <f>-8.003+0.612</f>
        <v>-7.391</v>
      </c>
      <c r="T30" s="20">
        <v>0</v>
      </c>
      <c r="U30" s="20">
        <v>0</v>
      </c>
      <c r="V30" s="20">
        <v>0</v>
      </c>
      <c r="W30" s="20">
        <v>0</v>
      </c>
      <c r="X30" s="20"/>
    </row>
    <row r="31" spans="1:24" s="33" customFormat="1">
      <c r="A31" s="20" t="s">
        <v>64</v>
      </c>
      <c r="B31" s="20">
        <f>-2.56-C31</f>
        <v>-2.0579999999999998</v>
      </c>
      <c r="C31" s="20">
        <v>-0.502</v>
      </c>
      <c r="D31" s="20">
        <f>2.552-E31-F31-G31</f>
        <v>-6.8960000000000008</v>
      </c>
      <c r="E31" s="20">
        <f>9.438+0.01-F31-G31</f>
        <v>0.55700000000000061</v>
      </c>
      <c r="F31" s="20">
        <f>8.881+0.01-G31</f>
        <v>8.2919999999999998</v>
      </c>
      <c r="G31" s="20">
        <v>0.59899999999999998</v>
      </c>
      <c r="H31" s="20">
        <f>-7.636-2.751-I31-J31-K31</f>
        <v>-11.681000000000001</v>
      </c>
      <c r="I31" s="20">
        <f>26.395-25.101-J31-K31</f>
        <v>-1.5020000000000024</v>
      </c>
      <c r="J31" s="20">
        <f>27.824-25.028-K31</f>
        <v>-13.923999999999996</v>
      </c>
      <c r="K31" s="20">
        <f>24.974-8.254</f>
        <v>16.72</v>
      </c>
      <c r="L31" s="20">
        <f>-16.458-M31-N31-O31</f>
        <v>-10.242999999999997</v>
      </c>
      <c r="M31" s="20">
        <f>-6.4+0.185-N31-O31</f>
        <v>-4.4030000000000005</v>
      </c>
      <c r="N31" s="20">
        <f>-2.006+0.194-O31</f>
        <v>-0.71999999999999975</v>
      </c>
      <c r="O31" s="20">
        <f>-0.373-0.719</f>
        <v>-1.0920000000000001</v>
      </c>
      <c r="P31" s="20">
        <f>-10.6-Q31-R31-S31</f>
        <v>-5.7649999999999988</v>
      </c>
      <c r="Q31" s="20">
        <f>-4.863+0.028-R31-S31</f>
        <v>-4.4450000000000012</v>
      </c>
      <c r="R31" s="20">
        <f>-0.418+0.028-S31</f>
        <v>-0.40899999999999997</v>
      </c>
      <c r="S31" s="20">
        <f>-0.009+0.028</f>
        <v>1.9000000000000003E-2</v>
      </c>
      <c r="T31" s="20">
        <v>0</v>
      </c>
      <c r="U31" s="20">
        <v>0</v>
      </c>
      <c r="V31" s="20">
        <v>0</v>
      </c>
      <c r="W31" s="20">
        <v>0</v>
      </c>
      <c r="X31" s="20"/>
    </row>
    <row r="32" spans="1:24" s="33" customFormat="1">
      <c r="A32" s="20" t="s">
        <v>65</v>
      </c>
      <c r="B32" s="20">
        <f>-0.397+2.788-9.921+2.673-2.639-0.943+14.627+6.736-C32</f>
        <v>6.2600000000000025</v>
      </c>
      <c r="C32" s="20">
        <f>-1.829-5.479-3.761+5.505+1.197-5.185+7.059+9.157</f>
        <v>6.6640000000000006</v>
      </c>
      <c r="D32" s="20">
        <f>5.109+4.399+6.532-6.612+15.998+3.403+17.953-11.551-E32-F32-G32</f>
        <v>33.656999999999989</v>
      </c>
      <c r="E32" s="20">
        <f>-1.457-0.165-3.787-2.418+1.019+5.174+15.034-11.826-F32-G32</f>
        <v>8.4880000000000031</v>
      </c>
      <c r="F32" s="20">
        <f>-1.08-7.842-4.178-4.026-7.705+12.602+12.31-6.995-G32</f>
        <v>-5.751000000000003</v>
      </c>
      <c r="G32" s="20">
        <f>-1.338+6.292-9.61-7.298-9.757+13.036+12.232-4.72</f>
        <v>-1.1629999999999994</v>
      </c>
      <c r="H32" s="20">
        <f>3.424+5.909+15.031-1.287-12.192+2.52-0.275+9.26-I32-J32-K32</f>
        <v>12.929999999999998</v>
      </c>
      <c r="I32" s="20">
        <f>-1.028-8.714-10.725+0.129-9.601-3.867+28.731+14.535-J32-K32</f>
        <v>-0.46599999999999753</v>
      </c>
      <c r="J32" s="20">
        <f>1.753-4.568-14.149+4.174-8.345+2.213+19.406+9.442-K32</f>
        <v>1.9240000000000048</v>
      </c>
      <c r="K32" s="20">
        <f>5.864-1.836-9.425-3.256-2.855-8.641+26.185+1.966</f>
        <v>8.0019999999999971</v>
      </c>
      <c r="L32" s="20">
        <f>-0.14-5.316-4.411+11.151-6.513+1.972-13.229-4.885-M32-N32-O32</f>
        <v>-8.3419999999999881</v>
      </c>
      <c r="M32" s="20">
        <f>-0.389-25.947-16.004+8.401-8.046-3.451+9.064+23.343-N32-O32</f>
        <v>-13.113000000000007</v>
      </c>
      <c r="N32" s="20">
        <f>3.717+1.209-13.484+7.404-3.066-3.173+0.181+7.296-O32</f>
        <v>0.92900000000000027</v>
      </c>
      <c r="O32" s="20">
        <f>1.754-6.796-3.713+5.656+1.212-2.388-2.53+5.96</f>
        <v>-0.84499999999999975</v>
      </c>
      <c r="P32" s="20">
        <f>-4.015-14.455-9.257-2.14-6.41+7.131+24.778+0.621-Q32-R32-S32</f>
        <v>-2.6560000000000077</v>
      </c>
      <c r="Q32" s="20">
        <f>-10.661-19.008-27.273+5.617-2.148-0.434+33.34+19.476-S32-R32</f>
        <v>6.2610000000000046</v>
      </c>
      <c r="R32" s="20">
        <f>-9.467-0.157-13.246+7.336-1.315-4.133+6.623+7.007-S32</f>
        <v>-14.179999999999998</v>
      </c>
      <c r="S32" s="20">
        <f>-4.573+0.646-4.754+9.637+1.554-5.324+2.384+7.258</f>
        <v>6.8279999999999994</v>
      </c>
      <c r="T32" s="20">
        <f>1.358+5.697-2.912-10.219-1.245+0.928-1.703+0.997-W32-V32-U32</f>
        <v>-13.799999999999999</v>
      </c>
      <c r="U32" s="20">
        <f>6.37+6.128-11.864-3.627-0.752+0.01+17.682-7.246-W32-V32</f>
        <v>0.9870000000000001</v>
      </c>
      <c r="V32" s="20">
        <f>5.558+6.223-12.633-1.601+0.791-0.893+8.87-0.601-W32</f>
        <v>-15.804000000000002</v>
      </c>
      <c r="W32" s="20">
        <f>5.653+18.832-13.265-2.711+0.206-1.738+4.977+9.564</f>
        <v>21.518000000000001</v>
      </c>
      <c r="X32" s="20"/>
    </row>
    <row r="33" spans="1:27"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c r="W33" s="20">
        <v>0</v>
      </c>
      <c r="X33" s="20"/>
    </row>
    <row r="34" spans="1:27"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c r="X34" s="29"/>
    </row>
    <row r="35" spans="1:27" s="27" customFormat="1">
      <c r="A35" s="27" t="s">
        <v>67</v>
      </c>
      <c r="B35" s="27">
        <f>39.712-C35</f>
        <v>20.993000000000002</v>
      </c>
      <c r="C35" s="27">
        <v>18.719000000000001</v>
      </c>
      <c r="D35" s="27">
        <f>78.985-E35-F35-G35</f>
        <v>52.920999999999999</v>
      </c>
      <c r="E35" s="27">
        <f>26.064-F35-G35</f>
        <v>25.457000000000001</v>
      </c>
      <c r="F35" s="27">
        <f>0.607-G35</f>
        <v>1.8639999999999999</v>
      </c>
      <c r="G35" s="27">
        <v>-1.2569999999999999</v>
      </c>
      <c r="H35" s="27">
        <f>-59.211-I35-J35-K35</f>
        <v>30.459000000000003</v>
      </c>
      <c r="I35" s="27">
        <f>-89.67-J35-K35</f>
        <v>11.183999999999997</v>
      </c>
      <c r="J35" s="27">
        <f>-100.854-K35</f>
        <v>-11.123999999999995</v>
      </c>
      <c r="K35" s="27">
        <v>-89.73</v>
      </c>
      <c r="L35" s="27">
        <f>24.445-M35-N35-O35</f>
        <v>2.7360000000000015</v>
      </c>
      <c r="M35" s="27">
        <f>21.709-N35-O35</f>
        <v>4.405000000000002</v>
      </c>
      <c r="N35" s="27">
        <f>17.304-O35</f>
        <v>11.811999999999998</v>
      </c>
      <c r="O35" s="27">
        <v>5.492</v>
      </c>
      <c r="P35" s="27">
        <f>37.622-Q35-R35-S35</f>
        <v>14.013999999999999</v>
      </c>
      <c r="Q35" s="27">
        <f>23.608-S35-R35</f>
        <v>19.927</v>
      </c>
      <c r="R35" s="27">
        <f>3.681-S35</f>
        <v>-8.0539999999999985</v>
      </c>
      <c r="S35" s="27">
        <v>11.734999999999999</v>
      </c>
      <c r="T35" s="27">
        <v>6.3129999999999953</v>
      </c>
      <c r="U35" s="27">
        <v>12.578000000000003</v>
      </c>
      <c r="V35" s="27">
        <v>-6.2409999999999997</v>
      </c>
      <c r="W35" s="27">
        <v>25.966999999999999</v>
      </c>
      <c r="X35" s="27">
        <v>3.902000000000001</v>
      </c>
    </row>
    <row r="36" spans="1:27" s="33" customFormat="1">
      <c r="A36" s="20" t="s">
        <v>68</v>
      </c>
      <c r="B36" s="29">
        <f>-1.072-C36</f>
        <v>-0.6120000000000001</v>
      </c>
      <c r="C36" s="29">
        <v>-0.46</v>
      </c>
      <c r="D36" s="29">
        <f>-10.874-E36-F36-G36</f>
        <v>-0.4210000000000016</v>
      </c>
      <c r="E36" s="29">
        <f>-10.453-F36-G36</f>
        <v>-2.7479999999999998</v>
      </c>
      <c r="F36" s="29">
        <f>-7.705-G36</f>
        <v>-4.2889999999999997</v>
      </c>
      <c r="G36" s="29">
        <v>-3.4159999999999999</v>
      </c>
      <c r="H36" s="29">
        <f>-9.406-I36-J36-K36</f>
        <v>-3.6300000000000017</v>
      </c>
      <c r="I36" s="29">
        <f>-5.776-J36-K36</f>
        <v>-1.2450000000000001</v>
      </c>
      <c r="J36" s="29">
        <f>-4.531-K36</f>
        <v>-2.8449999999999998</v>
      </c>
      <c r="K36" s="29">
        <v>-1.6859999999999999</v>
      </c>
      <c r="L36" s="29">
        <f>-4.99-M36-N36-O36</f>
        <v>-1.9170000000000005</v>
      </c>
      <c r="M36" s="29">
        <f>-3.073-N36-O36</f>
        <v>-1.8499999999999999</v>
      </c>
      <c r="N36" s="29">
        <f>-1.223-O36</f>
        <v>-0.57600000000000007</v>
      </c>
      <c r="O36" s="29">
        <v>-0.64700000000000002</v>
      </c>
      <c r="P36" s="29">
        <f>-3.72-Q36-R36-S36</f>
        <v>-0.61300000000000021</v>
      </c>
      <c r="Q36" s="29">
        <f>-3.107-S36-R36</f>
        <v>-0.79700000000000015</v>
      </c>
      <c r="R36" s="29">
        <f>-2.31-S36</f>
        <v>-0.65900000000000003</v>
      </c>
      <c r="S36" s="29">
        <f>-1.651</f>
        <v>-1.651</v>
      </c>
      <c r="T36" s="29">
        <v>-2.7039999999999997</v>
      </c>
      <c r="U36" s="29">
        <v>-0.8580000000000001</v>
      </c>
      <c r="V36" s="29">
        <v>-1.7449999999999999</v>
      </c>
      <c r="W36" s="29">
        <v>-1.1599999999999999</v>
      </c>
      <c r="X36" s="29">
        <v>-9.3320000000000007</v>
      </c>
    </row>
    <row r="37" spans="1:27" s="27" customFormat="1">
      <c r="A37" s="27" t="s">
        <v>69</v>
      </c>
      <c r="B37" s="27">
        <f t="shared" ref="B37:N37" si="22">B35+B36</f>
        <v>20.381</v>
      </c>
      <c r="C37" s="27">
        <f t="shared" si="22"/>
        <v>18.259</v>
      </c>
      <c r="D37" s="27">
        <f t="shared" si="22"/>
        <v>52.5</v>
      </c>
      <c r="E37" s="27">
        <f t="shared" si="22"/>
        <v>22.709</v>
      </c>
      <c r="F37" s="27">
        <f t="shared" si="22"/>
        <v>-2.4249999999999998</v>
      </c>
      <c r="G37" s="27">
        <f t="shared" si="22"/>
        <v>-4.673</v>
      </c>
      <c r="H37" s="27">
        <f t="shared" si="22"/>
        <v>26.829000000000001</v>
      </c>
      <c r="I37" s="27">
        <f t="shared" si="22"/>
        <v>9.9389999999999965</v>
      </c>
      <c r="J37" s="27">
        <f t="shared" si="22"/>
        <v>-13.968999999999994</v>
      </c>
      <c r="K37" s="27">
        <f t="shared" si="22"/>
        <v>-91.415999999999997</v>
      </c>
      <c r="L37" s="27">
        <f t="shared" si="22"/>
        <v>0.81900000000000106</v>
      </c>
      <c r="M37" s="27">
        <f t="shared" si="22"/>
        <v>2.5550000000000024</v>
      </c>
      <c r="N37" s="27">
        <f t="shared" si="22"/>
        <v>11.235999999999997</v>
      </c>
      <c r="O37" s="27">
        <f>+O35+O36</f>
        <v>4.8449999999999998</v>
      </c>
      <c r="P37" s="27">
        <f>+P35+P36</f>
        <v>13.401</v>
      </c>
      <c r="Q37" s="27">
        <f>+Q35+Q36</f>
        <v>19.13</v>
      </c>
      <c r="R37" s="27">
        <f t="shared" ref="R37:X37" si="23">+R35+R36</f>
        <v>-8.7129999999999992</v>
      </c>
      <c r="S37" s="27">
        <f t="shared" si="23"/>
        <v>10.084</v>
      </c>
      <c r="T37" s="27">
        <f t="shared" si="23"/>
        <v>3.6089999999999955</v>
      </c>
      <c r="U37" s="27">
        <f t="shared" si="23"/>
        <v>11.720000000000002</v>
      </c>
      <c r="V37" s="27">
        <f t="shared" si="23"/>
        <v>-7.9859999999999998</v>
      </c>
      <c r="W37" s="27">
        <f t="shared" si="23"/>
        <v>24.806999999999999</v>
      </c>
      <c r="X37" s="27">
        <f t="shared" si="23"/>
        <v>-5.43</v>
      </c>
    </row>
    <row r="38" spans="1:27">
      <c r="D38" s="33"/>
      <c r="Z38" s="33"/>
      <c r="AA38" s="33"/>
    </row>
    <row r="39" spans="1:27" s="35" customFormat="1">
      <c r="A39" s="34" t="s">
        <v>70</v>
      </c>
      <c r="B39" s="20">
        <f>C39+0</f>
        <v>0</v>
      </c>
      <c r="C39" s="20">
        <f>D39+0</f>
        <v>0</v>
      </c>
      <c r="D39" s="20">
        <v>0</v>
      </c>
      <c r="E39" s="20">
        <f>H39+120.376-125.638</f>
        <v>8.2379999999999995</v>
      </c>
      <c r="F39" s="20">
        <f>H39+97.987-89.56</f>
        <v>21.926999999999992</v>
      </c>
      <c r="G39" s="20">
        <f>H39+28.259-33.759</f>
        <v>8</v>
      </c>
      <c r="H39" s="20">
        <v>13.5</v>
      </c>
      <c r="I39" s="20">
        <v>11.700000000000003</v>
      </c>
      <c r="J39" s="20">
        <v>17.5</v>
      </c>
      <c r="K39" s="20">
        <v>0</v>
      </c>
      <c r="L39" s="20">
        <v>0</v>
      </c>
      <c r="M39" s="20">
        <v>0</v>
      </c>
      <c r="N39" s="20">
        <v>0</v>
      </c>
      <c r="O39" s="20">
        <v>0</v>
      </c>
      <c r="P39" s="20">
        <v>4</v>
      </c>
      <c r="Q39" s="20">
        <v>0</v>
      </c>
      <c r="R39" s="20">
        <v>0</v>
      </c>
      <c r="S39" s="20">
        <v>0</v>
      </c>
      <c r="T39" s="20">
        <v>0</v>
      </c>
      <c r="U39" s="20"/>
      <c r="V39" s="20"/>
      <c r="W39" s="20"/>
      <c r="X39" s="20"/>
    </row>
    <row r="40" spans="1:27" s="35" customFormat="1">
      <c r="A40" s="34" t="s">
        <v>71</v>
      </c>
      <c r="B40" s="20">
        <f>+D40-12.309</f>
        <v>518.24099999999999</v>
      </c>
      <c r="C40" s="20">
        <f>D40-1.35</f>
        <v>529.19999999999993</v>
      </c>
      <c r="D40" s="20">
        <v>530.54999999999995</v>
      </c>
      <c r="E40" s="20">
        <f>H40-4.05</f>
        <v>531.90000000000009</v>
      </c>
      <c r="F40" s="20">
        <f>H40-2.7</f>
        <v>533.25</v>
      </c>
      <c r="G40" s="20">
        <f>H40-1.35</f>
        <v>534.6</v>
      </c>
      <c r="H40" s="20">
        <f>535.95</f>
        <v>535.95000000000005</v>
      </c>
      <c r="I40" s="20">
        <v>540</v>
      </c>
      <c r="J40" s="20">
        <v>540</v>
      </c>
      <c r="K40" s="20">
        <v>540</v>
      </c>
      <c r="L40" s="20">
        <v>540</v>
      </c>
      <c r="M40" s="20">
        <v>359.37499999999989</v>
      </c>
      <c r="N40" s="20">
        <v>360.2999999999999</v>
      </c>
      <c r="O40" s="20">
        <v>364</v>
      </c>
      <c r="P40" s="20">
        <f>368-P39</f>
        <v>364</v>
      </c>
      <c r="Q40" s="20">
        <v>359</v>
      </c>
      <c r="R40" s="20">
        <v>364</v>
      </c>
      <c r="S40" s="20">
        <v>315</v>
      </c>
      <c r="T40" s="20">
        <v>299.315</v>
      </c>
      <c r="U40" s="20"/>
      <c r="V40" s="20"/>
      <c r="W40" s="20"/>
      <c r="X40" s="20"/>
      <c r="Z40" s="33"/>
    </row>
    <row r="41" spans="1:27" s="35" customFormat="1">
      <c r="A41" s="34" t="s">
        <v>72</v>
      </c>
      <c r="B41" s="20">
        <f>+B39+B40+200</f>
        <v>718.24099999999999</v>
      </c>
      <c r="C41" s="20">
        <f>+C39+C40+200</f>
        <v>729.19999999999993</v>
      </c>
      <c r="D41" s="20">
        <f>+D39+D40+200</f>
        <v>730.55</v>
      </c>
      <c r="E41" s="20">
        <f t="shared" ref="E41:J41" si="24">E39+E40+200</f>
        <v>740.13800000000015</v>
      </c>
      <c r="F41" s="20">
        <f t="shared" si="24"/>
        <v>755.17700000000002</v>
      </c>
      <c r="G41" s="20">
        <f t="shared" si="24"/>
        <v>742.6</v>
      </c>
      <c r="H41" s="20">
        <f t="shared" si="24"/>
        <v>749.45</v>
      </c>
      <c r="I41" s="20">
        <f t="shared" si="24"/>
        <v>751.7</v>
      </c>
      <c r="J41" s="20">
        <f t="shared" si="24"/>
        <v>757.5</v>
      </c>
      <c r="K41" s="20">
        <f t="shared" ref="K41:L41" si="25">K39+K40+200</f>
        <v>740</v>
      </c>
      <c r="L41" s="20">
        <f t="shared" si="25"/>
        <v>740</v>
      </c>
      <c r="M41" s="20">
        <f>M39+M40+120</f>
        <v>479.37499999999989</v>
      </c>
      <c r="N41" s="20">
        <f>N39+N40+120</f>
        <v>480.2999999999999</v>
      </c>
      <c r="O41" s="20">
        <f>O39+O40+120</f>
        <v>484</v>
      </c>
      <c r="P41" s="20">
        <v>488</v>
      </c>
      <c r="Q41" s="20">
        <f>Q39+Q40+110</f>
        <v>469</v>
      </c>
      <c r="R41" s="20">
        <v>484</v>
      </c>
      <c r="S41" s="20">
        <v>415</v>
      </c>
      <c r="T41" s="20">
        <v>399.315</v>
      </c>
      <c r="U41" s="20"/>
      <c r="V41" s="20"/>
      <c r="W41" s="20"/>
      <c r="X41" s="20"/>
      <c r="Z41" s="33"/>
    </row>
    <row r="42" spans="1:27" s="35" customFormat="1">
      <c r="A42" s="34" t="s">
        <v>73</v>
      </c>
      <c r="B42" s="36">
        <v>490</v>
      </c>
      <c r="C42" s="36">
        <v>490</v>
      </c>
      <c r="D42" s="36">
        <v>490</v>
      </c>
      <c r="E42" s="36">
        <v>490</v>
      </c>
      <c r="F42" s="36">
        <v>490</v>
      </c>
      <c r="G42" s="36">
        <v>490</v>
      </c>
      <c r="H42" s="36">
        <v>490</v>
      </c>
      <c r="I42" s="36">
        <v>490</v>
      </c>
      <c r="J42" s="36">
        <v>490</v>
      </c>
      <c r="K42" s="36">
        <v>490</v>
      </c>
      <c r="L42" s="36">
        <v>490</v>
      </c>
      <c r="M42" s="36">
        <v>0</v>
      </c>
      <c r="N42" s="36">
        <v>0</v>
      </c>
      <c r="O42" s="36">
        <v>0</v>
      </c>
      <c r="P42" s="36">
        <v>0</v>
      </c>
      <c r="Q42" s="36">
        <v>0</v>
      </c>
      <c r="R42" s="36">
        <v>0</v>
      </c>
      <c r="S42" s="36">
        <v>0</v>
      </c>
      <c r="T42" s="36">
        <v>0</v>
      </c>
      <c r="U42" s="36"/>
      <c r="V42" s="36"/>
      <c r="W42" s="36"/>
      <c r="X42" s="36"/>
    </row>
    <row r="43" spans="1:27">
      <c r="B43" s="35"/>
      <c r="C43" s="35"/>
      <c r="D43" s="35"/>
      <c r="E43" s="35"/>
      <c r="F43" s="35"/>
      <c r="G43" s="35"/>
      <c r="H43" s="35"/>
      <c r="I43" s="35"/>
      <c r="J43" s="35"/>
      <c r="K43" s="35"/>
      <c r="L43" s="35"/>
      <c r="M43" s="35"/>
      <c r="N43" s="35"/>
      <c r="O43" s="35"/>
      <c r="P43" s="35"/>
      <c r="Q43" s="35"/>
      <c r="R43" s="35"/>
      <c r="S43" s="35"/>
    </row>
    <row r="44" spans="1:27">
      <c r="A44" s="19" t="s">
        <v>74</v>
      </c>
      <c r="B44" s="28">
        <v>89.688000000000002</v>
      </c>
      <c r="C44" s="28">
        <v>82.001999999999995</v>
      </c>
      <c r="D44" s="28">
        <v>62.305</v>
      </c>
      <c r="E44" s="28">
        <v>18.838000000000001</v>
      </c>
      <c r="F44" s="28">
        <v>13.297000000000001</v>
      </c>
      <c r="G44" s="28">
        <v>15.93</v>
      </c>
      <c r="H44" s="28">
        <v>25.786999999999999</v>
      </c>
      <c r="I44" s="28">
        <v>30.472999999999999</v>
      </c>
      <c r="J44" s="28">
        <v>34.887</v>
      </c>
      <c r="K44" s="28">
        <v>33.343000000000004</v>
      </c>
      <c r="L44" s="28">
        <v>0</v>
      </c>
      <c r="M44" s="28">
        <v>68.39</v>
      </c>
      <c r="N44" s="28">
        <v>65.653999999999996</v>
      </c>
      <c r="O44" s="28">
        <v>54.622999999999998</v>
      </c>
      <c r="P44" s="28">
        <v>65.856999999999999</v>
      </c>
      <c r="Q44" s="28">
        <v>83.638000000000005</v>
      </c>
      <c r="R44" s="28">
        <v>63.774999999999999</v>
      </c>
      <c r="S44" s="28">
        <v>75.231999999999999</v>
      </c>
      <c r="T44" s="28">
        <v>75.231999999999999</v>
      </c>
      <c r="U44" s="28">
        <v>54.677</v>
      </c>
      <c r="V44" s="28"/>
      <c r="W44" s="28"/>
      <c r="X44" s="28"/>
    </row>
    <row r="46" spans="1:27">
      <c r="A46" s="14" t="s">
        <v>75</v>
      </c>
      <c r="B46" s="33">
        <f t="shared" ref="B46:U46" si="26">SUM(B12:E12)</f>
        <v>482.16700000000003</v>
      </c>
      <c r="C46" s="33">
        <f t="shared" si="26"/>
        <v>467.03999999999996</v>
      </c>
      <c r="D46" s="33">
        <f t="shared" si="26"/>
        <v>468.20500000000004</v>
      </c>
      <c r="E46" s="33">
        <f t="shared" si="26"/>
        <v>470.90999999999997</v>
      </c>
      <c r="F46" s="33">
        <f t="shared" si="26"/>
        <v>485.70499999999993</v>
      </c>
      <c r="G46" s="33">
        <f t="shared" si="26"/>
        <v>496.86299999999994</v>
      </c>
      <c r="H46" s="33">
        <f t="shared" si="26"/>
        <v>487.85599999999994</v>
      </c>
      <c r="I46" s="33">
        <f t="shared" si="26"/>
        <v>498.36</v>
      </c>
      <c r="J46" s="33">
        <f t="shared" si="26"/>
        <v>495.64200000000005</v>
      </c>
      <c r="K46" s="33">
        <f t="shared" si="26"/>
        <v>495.178</v>
      </c>
      <c r="L46" s="51">
        <v>535</v>
      </c>
      <c r="M46" s="33">
        <f t="shared" si="26"/>
        <v>525.86400000000003</v>
      </c>
      <c r="N46" s="33">
        <f t="shared" si="26"/>
        <v>508.34800000000001</v>
      </c>
      <c r="O46" s="33">
        <f t="shared" si="26"/>
        <v>481.58599999999996</v>
      </c>
      <c r="P46" s="33">
        <f t="shared" si="26"/>
        <v>451.065</v>
      </c>
      <c r="Q46" s="33">
        <f t="shared" si="26"/>
        <v>380.01099999999997</v>
      </c>
      <c r="R46" s="33">
        <f t="shared" si="26"/>
        <v>367.72609999999997</v>
      </c>
      <c r="S46" s="33">
        <f t="shared" si="26"/>
        <v>376.6431</v>
      </c>
      <c r="T46" s="33">
        <f t="shared" si="26"/>
        <v>377.97410000000002</v>
      </c>
      <c r="U46" s="33">
        <f t="shared" si="26"/>
        <v>397.24010000000004</v>
      </c>
    </row>
    <row r="47" spans="1:27">
      <c r="A47" s="14" t="s">
        <v>76</v>
      </c>
      <c r="B47" s="33">
        <f t="shared" ref="B47" si="27">+B27</f>
        <v>125.137</v>
      </c>
      <c r="C47" s="33">
        <f t="shared" ref="C47:D47" si="28">+C27</f>
        <v>115.59399999999999</v>
      </c>
      <c r="D47" s="33">
        <f t="shared" si="28"/>
        <v>104.318</v>
      </c>
      <c r="E47" s="33">
        <f t="shared" ref="E47:F47" si="29">+E27</f>
        <v>103.575</v>
      </c>
      <c r="F47" s="33">
        <f t="shared" si="29"/>
        <v>102.767</v>
      </c>
      <c r="G47" s="33">
        <f t="shared" ref="G47:H47" si="30">+G27</f>
        <v>101.932</v>
      </c>
      <c r="H47" s="33">
        <f t="shared" si="30"/>
        <v>102.10899999999999</v>
      </c>
      <c r="I47" s="33">
        <f t="shared" ref="I47:J47" si="31">+I27</f>
        <v>105.086</v>
      </c>
      <c r="J47" s="33">
        <f t="shared" si="31"/>
        <v>107.13</v>
      </c>
      <c r="K47" s="33">
        <f t="shared" ref="K47:U47" si="32">+K27</f>
        <v>110.988</v>
      </c>
      <c r="L47" s="51">
        <v>117</v>
      </c>
      <c r="M47" s="33">
        <f t="shared" si="32"/>
        <v>113.71600000000001</v>
      </c>
      <c r="N47" s="33">
        <f t="shared" si="32"/>
        <v>108.655</v>
      </c>
      <c r="O47" s="33">
        <f t="shared" si="32"/>
        <v>102.934</v>
      </c>
      <c r="P47" s="33">
        <f t="shared" si="32"/>
        <v>99.611000000000018</v>
      </c>
      <c r="Q47" s="33">
        <f t="shared" si="32"/>
        <v>82.77</v>
      </c>
      <c r="R47" s="33">
        <f t="shared" si="32"/>
        <v>80.326999999999998</v>
      </c>
      <c r="S47" s="33">
        <f t="shared" si="32"/>
        <v>86.360000000000014</v>
      </c>
      <c r="T47" s="33">
        <f t="shared" si="32"/>
        <v>84.745000000000005</v>
      </c>
      <c r="U47" s="33">
        <f t="shared" si="32"/>
        <v>88.823999999999998</v>
      </c>
    </row>
    <row r="48" spans="1:27">
      <c r="A48" s="14" t="s">
        <v>77</v>
      </c>
      <c r="B48" s="33">
        <f t="shared" ref="B48:I48" si="33">SUM(B37:E37)</f>
        <v>113.849</v>
      </c>
      <c r="C48" s="33">
        <f t="shared" si="33"/>
        <v>91.043000000000006</v>
      </c>
      <c r="D48" s="33">
        <f t="shared" si="33"/>
        <v>68.111000000000004</v>
      </c>
      <c r="E48" s="33">
        <f t="shared" si="33"/>
        <v>42.44</v>
      </c>
      <c r="F48" s="33">
        <f t="shared" si="33"/>
        <v>29.669999999999998</v>
      </c>
      <c r="G48" s="33">
        <f t="shared" si="33"/>
        <v>18.126000000000005</v>
      </c>
      <c r="H48" s="33">
        <f t="shared" si="33"/>
        <v>-68.61699999999999</v>
      </c>
      <c r="I48" s="33">
        <f t="shared" si="33"/>
        <v>-94.626999999999995</v>
      </c>
      <c r="J48" s="33">
        <f>K48+J37-N37</f>
        <v>-84.787409999999994</v>
      </c>
      <c r="K48" s="33">
        <f>L48+K37-O37</f>
        <v>-59.58241000000001</v>
      </c>
      <c r="L48" s="51">
        <v>36.678589999999986</v>
      </c>
      <c r="M48" s="33">
        <f t="shared" ref="M48:U48" si="34">+SUM(M37:P37)</f>
        <v>32.036999999999999</v>
      </c>
      <c r="N48" s="33">
        <f>+SUM(N37:Q37)</f>
        <v>48.611999999999995</v>
      </c>
      <c r="O48" s="33">
        <f t="shared" si="34"/>
        <v>28.662999999999997</v>
      </c>
      <c r="P48" s="33">
        <f t="shared" si="34"/>
        <v>33.902000000000001</v>
      </c>
      <c r="Q48" s="33">
        <f t="shared" si="34"/>
        <v>24.109999999999992</v>
      </c>
      <c r="R48" s="33">
        <f t="shared" si="34"/>
        <v>16.7</v>
      </c>
      <c r="S48" s="33">
        <f t="shared" si="34"/>
        <v>17.426999999999996</v>
      </c>
      <c r="T48" s="33">
        <f t="shared" si="34"/>
        <v>32.15</v>
      </c>
      <c r="U48" s="33">
        <f t="shared" si="34"/>
        <v>23.111000000000001</v>
      </c>
    </row>
    <row r="50" spans="1:24" s="37" customFormat="1">
      <c r="A50" s="37" t="s">
        <v>78</v>
      </c>
      <c r="B50" s="37">
        <f t="shared" ref="B50:C50" si="35">+SUM(B39:B40)/B47</f>
        <v>4.1413890376147737</v>
      </c>
      <c r="C50" s="37">
        <f t="shared" si="35"/>
        <v>4.5780922885270856</v>
      </c>
      <c r="D50" s="37">
        <f t="shared" ref="D50:E50" si="36">+SUM(D39:D40)/D47</f>
        <v>5.0858912172395936</v>
      </c>
      <c r="E50" s="37">
        <f t="shared" si="36"/>
        <v>5.2149456915278796</v>
      </c>
      <c r="F50" s="37">
        <f t="shared" ref="F50:G50" si="37">+SUM(F39:F40)/F47</f>
        <v>5.402288672433758</v>
      </c>
      <c r="G50" s="37">
        <f t="shared" si="37"/>
        <v>5.3231566142133975</v>
      </c>
      <c r="H50" s="37">
        <f t="shared" ref="H50:I50" si="38">+SUM(H39:H40)/H47</f>
        <v>5.3810144061737955</v>
      </c>
      <c r="I50" s="37">
        <f t="shared" si="38"/>
        <v>5.2499857259768197</v>
      </c>
      <c r="J50" s="37">
        <f t="shared" ref="J50:K50" si="39">+SUM(J39:J40)/J47</f>
        <v>5.2039578082703262</v>
      </c>
      <c r="K50" s="37">
        <f t="shared" si="39"/>
        <v>4.8653908530651959</v>
      </c>
      <c r="L50" s="37">
        <f t="shared" ref="L50:T50" si="40">+SUM(L39:L40)/L47</f>
        <v>4.615384615384615</v>
      </c>
      <c r="M50" s="37">
        <f t="shared" si="40"/>
        <v>3.1602852720813241</v>
      </c>
      <c r="N50" s="37">
        <f t="shared" si="40"/>
        <v>3.3160001840688409</v>
      </c>
      <c r="O50" s="37">
        <f t="shared" si="40"/>
        <v>3.5362465269007326</v>
      </c>
      <c r="P50" s="37">
        <f t="shared" si="40"/>
        <v>3.6943711035929758</v>
      </c>
      <c r="Q50" s="37">
        <f t="shared" si="40"/>
        <v>4.3373202851274621</v>
      </c>
      <c r="R50" s="37">
        <f t="shared" si="40"/>
        <v>4.5314775853698013</v>
      </c>
      <c r="S50" s="37">
        <f t="shared" si="40"/>
        <v>3.647522000926354</v>
      </c>
      <c r="T50" s="37">
        <f t="shared" si="40"/>
        <v>3.5319487875390876</v>
      </c>
    </row>
    <row r="51" spans="1:24" s="37" customFormat="1">
      <c r="A51" s="37" t="s">
        <v>79</v>
      </c>
      <c r="B51" s="37">
        <f t="shared" ref="B51:C51" si="41">+B41/B47</f>
        <v>5.7396373574562283</v>
      </c>
      <c r="C51" s="37">
        <f t="shared" si="41"/>
        <v>6.3082858971918956</v>
      </c>
      <c r="D51" s="37">
        <f t="shared" ref="D51:E51" si="42">+D41/D47</f>
        <v>7.0031058877662531</v>
      </c>
      <c r="E51" s="37">
        <f t="shared" si="42"/>
        <v>7.1459135891865806</v>
      </c>
      <c r="F51" s="37">
        <f t="shared" ref="F51:G51" si="43">+F41/F47</f>
        <v>7.3484387011394716</v>
      </c>
      <c r="G51" s="37">
        <f t="shared" si="43"/>
        <v>7.2852489895224268</v>
      </c>
      <c r="H51" s="37">
        <f t="shared" ref="H51:I51" si="44">+H41/H47</f>
        <v>7.3397056087122596</v>
      </c>
      <c r="I51" s="37">
        <f t="shared" si="44"/>
        <v>7.1531888167786386</v>
      </c>
      <c r="J51" s="37">
        <f t="shared" ref="J51:K51" si="45">+J41/J47</f>
        <v>7.070848501820219</v>
      </c>
      <c r="K51" s="37">
        <f t="shared" si="45"/>
        <v>6.667387465311565</v>
      </c>
      <c r="L51" s="37">
        <f t="shared" ref="L51:T51" si="46">+L41/L47</f>
        <v>6.3247863247863245</v>
      </c>
      <c r="M51" s="37">
        <f t="shared" si="46"/>
        <v>4.2155457455415233</v>
      </c>
      <c r="N51" s="37">
        <f t="shared" si="46"/>
        <v>4.4204132345497209</v>
      </c>
      <c r="O51" s="37">
        <f t="shared" si="46"/>
        <v>4.7020420852196558</v>
      </c>
      <c r="P51" s="37">
        <f t="shared" si="46"/>
        <v>4.8990573330254685</v>
      </c>
      <c r="Q51" s="37">
        <f t="shared" si="46"/>
        <v>5.6663042165035646</v>
      </c>
      <c r="R51" s="37">
        <f t="shared" si="46"/>
        <v>6.0253712948323725</v>
      </c>
      <c r="S51" s="37">
        <f t="shared" si="46"/>
        <v>4.8054654932839274</v>
      </c>
      <c r="T51" s="37">
        <f t="shared" si="46"/>
        <v>4.7119594076346685</v>
      </c>
    </row>
    <row r="52" spans="1:24" s="37" customFormat="1">
      <c r="A52" s="37" t="s">
        <v>80</v>
      </c>
      <c r="B52" s="37">
        <f t="shared" ref="B52:C52" si="47">+(B41-B44)/B47</f>
        <v>5.0229188809065262</v>
      </c>
      <c r="C52" s="37">
        <f t="shared" si="47"/>
        <v>5.5988892157032373</v>
      </c>
      <c r="D52" s="37">
        <f t="shared" ref="D52:E52" si="48">+(D41-D44)/D47</f>
        <v>6.4058455875304361</v>
      </c>
      <c r="E52" s="37">
        <f t="shared" si="48"/>
        <v>6.9640357229061083</v>
      </c>
      <c r="F52" s="37">
        <f t="shared" ref="F52:G52" si="49">+(F41-F44)/F47</f>
        <v>7.2190489164809719</v>
      </c>
      <c r="G52" s="37">
        <f t="shared" si="49"/>
        <v>7.1289683318290633</v>
      </c>
      <c r="H52" s="37">
        <f t="shared" ref="H52:I52" si="50">+(H41-H44)/H47</f>
        <v>7.0871617585129618</v>
      </c>
      <c r="I52" s="37">
        <f t="shared" si="50"/>
        <v>6.8632072778486206</v>
      </c>
      <c r="J52" s="37">
        <f t="shared" ref="J52:K52" si="51">+(J41-J44)/J47</f>
        <v>6.7451974236908434</v>
      </c>
      <c r="K52" s="37">
        <f t="shared" si="51"/>
        <v>6.3669676001009119</v>
      </c>
      <c r="L52" s="37">
        <f t="shared" ref="L52:T52" si="52">+(L41-L44)/L47</f>
        <v>6.3247863247863245</v>
      </c>
      <c r="M52" s="37">
        <f t="shared" si="52"/>
        <v>3.6141352140419984</v>
      </c>
      <c r="N52" s="37">
        <f t="shared" si="52"/>
        <v>3.8161704477474565</v>
      </c>
      <c r="O52" s="37">
        <f t="shared" si="52"/>
        <v>4.1713816620358681</v>
      </c>
      <c r="P52" s="37">
        <f t="shared" si="52"/>
        <v>4.2379154912610044</v>
      </c>
      <c r="Q52" s="37">
        <f t="shared" si="52"/>
        <v>4.6558173251177966</v>
      </c>
      <c r="R52" s="37">
        <f t="shared" si="52"/>
        <v>5.2314290338242442</v>
      </c>
      <c r="S52" s="37">
        <f t="shared" si="52"/>
        <v>3.9343214451134783</v>
      </c>
      <c r="T52" s="37">
        <f t="shared" si="52"/>
        <v>3.8242138179243605</v>
      </c>
    </row>
    <row r="53" spans="1:24" s="38" customFormat="1">
      <c r="A53" s="38" t="s">
        <v>81</v>
      </c>
      <c r="B53" s="38">
        <f t="shared" ref="B53:C53" si="53">+B48/B41</f>
        <v>0.15851086195302136</v>
      </c>
      <c r="C53" s="38">
        <f t="shared" si="53"/>
        <v>0.12485326385079541</v>
      </c>
      <c r="D53" s="38">
        <f t="shared" ref="D53:E53" si="54">+D48/D41</f>
        <v>9.3232496064608872E-2</v>
      </c>
      <c r="E53" s="38">
        <f t="shared" si="54"/>
        <v>5.7340658093490662E-2</v>
      </c>
      <c r="F53" s="38">
        <f t="shared" ref="F53:G53" si="55">+F48/F41</f>
        <v>3.928880249266066E-2</v>
      </c>
      <c r="G53" s="38">
        <f t="shared" si="55"/>
        <v>2.4408833827093999E-2</v>
      </c>
      <c r="H53" s="38">
        <f t="shared" ref="H53:I53" si="56">+H48/H41</f>
        <v>-9.1556474748148625E-2</v>
      </c>
      <c r="I53" s="38">
        <f t="shared" si="56"/>
        <v>-0.12588399627510974</v>
      </c>
      <c r="J53" s="38">
        <f t="shared" ref="J53:K53" si="57">+J48/J41</f>
        <v>-0.11193057425742574</v>
      </c>
      <c r="K53" s="38">
        <f t="shared" si="57"/>
        <v>-8.051677027027028E-2</v>
      </c>
      <c r="L53" s="38">
        <f t="shared" ref="L53:T53" si="58">+L48/L41</f>
        <v>4.9565662162162141E-2</v>
      </c>
      <c r="M53" s="38">
        <f t="shared" si="58"/>
        <v>6.6830769230769249E-2</v>
      </c>
      <c r="N53" s="38">
        <f t="shared" si="58"/>
        <v>0.10121174266083699</v>
      </c>
      <c r="O53" s="38">
        <f t="shared" si="58"/>
        <v>5.922107438016528E-2</v>
      </c>
      <c r="P53" s="38">
        <f t="shared" si="58"/>
        <v>6.9471311475409844E-2</v>
      </c>
      <c r="Q53" s="38">
        <f t="shared" si="58"/>
        <v>5.1407249466950945E-2</v>
      </c>
      <c r="R53" s="38">
        <f t="shared" si="58"/>
        <v>3.4504132231404958E-2</v>
      </c>
      <c r="S53" s="38">
        <f t="shared" si="58"/>
        <v>4.1992771084337341E-2</v>
      </c>
      <c r="T53" s="38">
        <f t="shared" si="58"/>
        <v>8.0512878304095759E-2</v>
      </c>
    </row>
    <row r="54" spans="1:24" s="38" customFormat="1">
      <c r="A54" s="39" t="s">
        <v>82</v>
      </c>
      <c r="B54" s="40"/>
      <c r="C54" s="40"/>
      <c r="D54" s="40"/>
      <c r="E54" s="40"/>
      <c r="F54" s="40"/>
      <c r="G54" s="40"/>
      <c r="H54" s="40"/>
      <c r="I54" s="40"/>
      <c r="J54" s="40"/>
      <c r="K54" s="40"/>
      <c r="L54" s="40"/>
      <c r="M54" s="40">
        <v>6.5</v>
      </c>
      <c r="N54" s="40">
        <v>6.5</v>
      </c>
      <c r="O54" s="40">
        <v>6.5</v>
      </c>
      <c r="P54" s="40">
        <v>6.5</v>
      </c>
      <c r="Q54" s="40">
        <v>6.5</v>
      </c>
      <c r="R54" s="40">
        <v>6.5</v>
      </c>
      <c r="S54" s="40">
        <v>6.5</v>
      </c>
      <c r="T54" s="40">
        <v>6.5</v>
      </c>
      <c r="U54" s="40"/>
      <c r="V54" s="39"/>
      <c r="W54" s="39"/>
      <c r="X54" s="39"/>
    </row>
    <row r="55" spans="1:24" s="38" customFormat="1">
      <c r="A55" s="38" t="s">
        <v>83</v>
      </c>
      <c r="B55" s="41">
        <f t="shared" ref="B55:C55" si="59">IF(B42=0,IF(B54="","","*"&amp;TEXT(B54,"0.0x")),(B41+B42-B44)/B47)</f>
        <v>8.9386272645180878</v>
      </c>
      <c r="C55" s="41">
        <f t="shared" si="59"/>
        <v>9.8378635569320192</v>
      </c>
      <c r="D55" s="41">
        <f t="shared" ref="D55:E55" si="60">IF(D42=0,IF(D54="","","*"&amp;TEXT(D54,"0.0x")),(D41+D42-D44)/D47)</f>
        <v>11.103021530320749</v>
      </c>
      <c r="E55" s="41">
        <f t="shared" si="60"/>
        <v>11.694907072169926</v>
      </c>
      <c r="F55" s="41">
        <f t="shared" ref="F55:G55" si="61">IF(F42=0,IF(F54="","","*"&amp;TEXT(F54,"0.0x")),(F41+F42-F44)/F47)</f>
        <v>11.98711648680997</v>
      </c>
      <c r="G55" s="41">
        <f t="shared" si="61"/>
        <v>11.936094651336184</v>
      </c>
      <c r="H55" s="41">
        <f t="shared" ref="H55:I55" si="62">IF(H42=0,IF(H54="","","*"&amp;TEXT(H54,"0.0x")),(H41+H42-H44)/H47)</f>
        <v>11.885955204732198</v>
      </c>
      <c r="I55" s="41">
        <f t="shared" si="62"/>
        <v>11.526054850313077</v>
      </c>
      <c r="J55" s="41">
        <f t="shared" ref="J55:K55" si="63">IF(J42=0,IF(J54="","","*"&amp;TEXT(J54,"0.0x")),(J41+J42-J44)/J47)</f>
        <v>11.319079622888081</v>
      </c>
      <c r="K55" s="41">
        <f t="shared" si="63"/>
        <v>10.781859300104514</v>
      </c>
      <c r="L55" s="41">
        <f t="shared" ref="L55:U55" si="64">IF(L42=0,IF(L54="","","*"&amp;TEXT(L54,"0.0x")),(L41+L42-L44)/L47)</f>
        <v>10.512820512820513</v>
      </c>
      <c r="M55" s="41" t="str">
        <f t="shared" si="64"/>
        <v>*6.5x</v>
      </c>
      <c r="N55" s="41" t="str">
        <f t="shared" si="64"/>
        <v>*6.5x</v>
      </c>
      <c r="O55" s="41" t="str">
        <f t="shared" si="64"/>
        <v>*6.5x</v>
      </c>
      <c r="P55" s="41" t="str">
        <f t="shared" si="64"/>
        <v>*6.5x</v>
      </c>
      <c r="Q55" s="41" t="str">
        <f t="shared" si="64"/>
        <v>*6.5x</v>
      </c>
      <c r="R55" s="41" t="str">
        <f t="shared" si="64"/>
        <v>*6.5x</v>
      </c>
      <c r="S55" s="41" t="str">
        <f t="shared" si="64"/>
        <v>*6.5x</v>
      </c>
      <c r="T55" s="41" t="str">
        <f t="shared" si="64"/>
        <v>*6.5x</v>
      </c>
      <c r="U55" s="41" t="str">
        <f t="shared" si="64"/>
        <v/>
      </c>
      <c r="V55" s="41" t="str">
        <f>IF(V42=0,IF(V54="","",CONCATENATE("* ",V54,"x")),(V41+V42-V44)/V47)</f>
        <v/>
      </c>
      <c r="W55" s="41" t="str">
        <f>IF(W42=0,IF(W54="","",CONCATENATE("* ",W54,"x")),(W41+W42-W44)/W47)</f>
        <v/>
      </c>
      <c r="X55" s="41" t="str">
        <f>IF(X42=0,IF(X54="","",CONCATENATE("* ",X54,"x")),(X41+X42-X44)/X47)</f>
        <v/>
      </c>
    </row>
    <row r="56" spans="1:24">
      <c r="U56" s="42"/>
    </row>
    <row r="57" spans="1:24" ht="80.25" customHeight="1">
      <c r="A57" s="43" t="s">
        <v>84</v>
      </c>
      <c r="B57" s="44" t="s">
        <v>289</v>
      </c>
      <c r="C57" s="44" t="s">
        <v>289</v>
      </c>
      <c r="D57" s="44" t="s">
        <v>289</v>
      </c>
      <c r="E57" s="44" t="s">
        <v>289</v>
      </c>
      <c r="F57" s="44" t="s">
        <v>289</v>
      </c>
      <c r="G57" s="44" t="s">
        <v>289</v>
      </c>
      <c r="H57" s="44" t="s">
        <v>289</v>
      </c>
      <c r="I57" s="44" t="s">
        <v>293</v>
      </c>
      <c r="J57" s="44" t="s">
        <v>293</v>
      </c>
      <c r="K57" s="44" t="s">
        <v>293</v>
      </c>
      <c r="L57" s="44" t="s">
        <v>326</v>
      </c>
      <c r="M57" s="44" t="s">
        <v>293</v>
      </c>
      <c r="N57" s="44" t="s">
        <v>293</v>
      </c>
      <c r="O57" s="44" t="s">
        <v>289</v>
      </c>
      <c r="P57" s="44" t="s">
        <v>289</v>
      </c>
      <c r="Q57" s="44" t="s">
        <v>150</v>
      </c>
      <c r="R57" s="44"/>
      <c r="S57" s="44"/>
      <c r="T57" s="44"/>
      <c r="U57" s="44"/>
      <c r="V57" s="44"/>
      <c r="W57" s="44"/>
      <c r="X57" s="44"/>
    </row>
    <row r="58" spans="1:24">
      <c r="A58" s="45"/>
      <c r="B58" s="42"/>
      <c r="C58" s="42"/>
      <c r="D58" s="42"/>
      <c r="E58" s="42"/>
      <c r="F58" s="42"/>
      <c r="G58" s="42"/>
      <c r="H58" s="42"/>
      <c r="I58" s="42"/>
      <c r="J58" s="42"/>
      <c r="K58" s="42"/>
      <c r="L58" s="42"/>
      <c r="M58" s="42"/>
      <c r="N58" s="42"/>
      <c r="O58" s="42"/>
      <c r="P58" s="42"/>
      <c r="Q58" s="42"/>
    </row>
    <row r="59" spans="1:24">
      <c r="A59" s="45"/>
    </row>
  </sheetData>
  <pageMargins left="0.7" right="0.7" top="0.75" bottom="0.75" header="0.3" footer="0.3"/>
  <pageSetup orientation="portrait" r:id="rId1"/>
  <ignoredErrors>
    <ignoredError sqref="R24:U25 J46:V52 K24:Q25 I26:Q29 I24:J25 I46:I52 I53:I54 H46:H49 H24 G46 I31:Q31 I30 K30:Q30" formulaRange="1"/>
    <ignoredError sqref="H50:H52 H53:H54" evalError="1" formulaRange="1"/>
    <ignoredError sqref="D22:H23" formula="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X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24" width="10.6640625" style="14" customWidth="1"/>
    <col min="25" max="16384" width="9.109375" style="14"/>
  </cols>
  <sheetData>
    <row r="2" spans="1:24">
      <c r="A2" s="13" t="s">
        <v>44</v>
      </c>
      <c r="B2" s="14" t="s">
        <v>511</v>
      </c>
    </row>
    <row r="3" spans="1:24" s="16" customFormat="1">
      <c r="A3" s="15" t="s">
        <v>45</v>
      </c>
      <c r="B3" s="16" t="s">
        <v>129</v>
      </c>
    </row>
    <row r="4" spans="1:24">
      <c r="A4" s="13" t="s">
        <v>2</v>
      </c>
      <c r="B4" s="14" t="s">
        <v>4</v>
      </c>
    </row>
    <row r="5" spans="1:24">
      <c r="A5" s="13" t="s">
        <v>46</v>
      </c>
    </row>
    <row r="6" spans="1:24">
      <c r="A6" s="13" t="s">
        <v>47</v>
      </c>
      <c r="B6" s="14">
        <v>4</v>
      </c>
    </row>
    <row r="7" spans="1:24">
      <c r="A7" s="13" t="s">
        <v>48</v>
      </c>
      <c r="B7" s="14" t="s">
        <v>459</v>
      </c>
    </row>
    <row r="8" spans="1:24">
      <c r="A8" s="13" t="s">
        <v>347</v>
      </c>
      <c r="B8" s="14" t="s">
        <v>392</v>
      </c>
    </row>
    <row r="9" spans="1:24">
      <c r="A9" s="17"/>
    </row>
    <row r="10" spans="1:24">
      <c r="A10" s="17" t="s">
        <v>49</v>
      </c>
      <c r="B10" s="18">
        <v>44286</v>
      </c>
      <c r="C10" s="18">
        <v>44196</v>
      </c>
      <c r="D10" s="18">
        <v>44104</v>
      </c>
      <c r="E10" s="18">
        <v>44012</v>
      </c>
      <c r="F10" s="18">
        <v>43921</v>
      </c>
      <c r="G10" s="18">
        <v>43830</v>
      </c>
      <c r="H10" s="18">
        <v>43738</v>
      </c>
      <c r="I10" s="18">
        <v>43646</v>
      </c>
      <c r="J10" s="18">
        <v>43555</v>
      </c>
      <c r="K10" s="18">
        <v>43465</v>
      </c>
      <c r="L10" s="18">
        <v>43373</v>
      </c>
      <c r="M10" s="18">
        <v>43281</v>
      </c>
      <c r="N10" s="18">
        <v>43190</v>
      </c>
      <c r="O10" s="18">
        <v>43100</v>
      </c>
      <c r="P10" s="18">
        <v>43008</v>
      </c>
      <c r="Q10" s="18">
        <v>42916</v>
      </c>
      <c r="R10" s="18">
        <v>42825</v>
      </c>
      <c r="S10" s="18">
        <v>42735</v>
      </c>
      <c r="T10" s="18">
        <v>42643</v>
      </c>
      <c r="U10" s="18">
        <v>42551</v>
      </c>
      <c r="V10" s="18">
        <v>42460</v>
      </c>
      <c r="W10" s="18">
        <v>42369</v>
      </c>
      <c r="X10" s="18">
        <v>42277</v>
      </c>
    </row>
    <row r="12" spans="1:24">
      <c r="A12" s="19" t="s">
        <v>50</v>
      </c>
      <c r="B12" s="20">
        <v>117.9</v>
      </c>
      <c r="C12" s="20">
        <f>350.7-D12-E12-F12</f>
        <v>70.999999999999972</v>
      </c>
      <c r="D12" s="20">
        <v>84.8</v>
      </c>
      <c r="E12" s="20">
        <v>77</v>
      </c>
      <c r="F12" s="20">
        <v>117.9</v>
      </c>
      <c r="G12" s="20">
        <f>388.7-H12-I12-J12</f>
        <v>100.89999999999996</v>
      </c>
      <c r="H12" s="20">
        <v>106.9</v>
      </c>
      <c r="I12" s="20">
        <v>97.1</v>
      </c>
      <c r="J12" s="20">
        <v>83.8</v>
      </c>
      <c r="K12" s="20">
        <v>80</v>
      </c>
      <c r="L12" s="20">
        <v>82.2</v>
      </c>
      <c r="M12" s="20">
        <v>88.8</v>
      </c>
      <c r="N12" s="20">
        <v>79.7</v>
      </c>
      <c r="O12" s="20">
        <v>79.5</v>
      </c>
      <c r="P12" s="20">
        <v>75.8</v>
      </c>
      <c r="Q12" s="20">
        <v>75.900000000000006</v>
      </c>
      <c r="R12" s="20">
        <v>73.099999999999994</v>
      </c>
      <c r="S12" s="20">
        <v>62.500000000000028</v>
      </c>
      <c r="T12" s="20">
        <v>69.099999999999994</v>
      </c>
      <c r="U12" s="20">
        <v>70.400000000000006</v>
      </c>
      <c r="V12" s="20">
        <v>70.599999999999994</v>
      </c>
      <c r="W12" s="20">
        <v>73.600000000000023</v>
      </c>
      <c r="X12" s="20">
        <v>84</v>
      </c>
    </row>
    <row r="13" spans="1:24" s="21" customFormat="1">
      <c r="A13" s="21" t="s">
        <v>51</v>
      </c>
      <c r="B13" s="21">
        <f t="shared" ref="B13:T13" si="0">+B12/F12-1</f>
        <v>0</v>
      </c>
      <c r="C13" s="21">
        <f t="shared" si="0"/>
        <v>-0.29633300297324083</v>
      </c>
      <c r="D13" s="21">
        <f t="shared" si="0"/>
        <v>-0.20673526660430319</v>
      </c>
      <c r="E13" s="21">
        <f t="shared" si="0"/>
        <v>-0.20700308959835212</v>
      </c>
      <c r="F13" s="21">
        <f t="shared" si="0"/>
        <v>0.40692124105011951</v>
      </c>
      <c r="G13" s="21">
        <f t="shared" si="0"/>
        <v>0.26124999999999954</v>
      </c>
      <c r="H13" s="21">
        <f t="shared" si="0"/>
        <v>0.3004866180048662</v>
      </c>
      <c r="I13" s="21">
        <f t="shared" si="0"/>
        <v>9.3468468468468346E-2</v>
      </c>
      <c r="J13" s="21">
        <f t="shared" si="0"/>
        <v>5.144291091593467E-2</v>
      </c>
      <c r="K13" s="21">
        <f t="shared" si="0"/>
        <v>6.2893081761006275E-3</v>
      </c>
      <c r="L13" s="21">
        <f t="shared" si="0"/>
        <v>8.4432717678100344E-2</v>
      </c>
      <c r="M13" s="21">
        <f t="shared" si="0"/>
        <v>0.1699604743083003</v>
      </c>
      <c r="N13" s="21">
        <f t="shared" si="0"/>
        <v>9.0287277701778468E-2</v>
      </c>
      <c r="O13" s="21">
        <f t="shared" si="0"/>
        <v>0.27199999999999935</v>
      </c>
      <c r="P13" s="21">
        <f t="shared" si="0"/>
        <v>9.6960926193921937E-2</v>
      </c>
      <c r="Q13" s="21">
        <f t="shared" si="0"/>
        <v>7.8125E-2</v>
      </c>
      <c r="R13" s="21">
        <f t="shared" si="0"/>
        <v>3.5410764872521261E-2</v>
      </c>
      <c r="S13" s="21">
        <f t="shared" si="0"/>
        <v>-0.15081521739130421</v>
      </c>
      <c r="T13" s="21">
        <f t="shared" si="0"/>
        <v>-0.17738095238095242</v>
      </c>
    </row>
    <row r="14" spans="1:24"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t="s">
        <v>3</v>
      </c>
      <c r="P14" s="23" t="s">
        <v>3</v>
      </c>
      <c r="Q14" s="23" t="s">
        <v>3</v>
      </c>
      <c r="R14" s="23" t="s">
        <v>3</v>
      </c>
      <c r="S14" s="23" t="s">
        <v>3</v>
      </c>
      <c r="T14" s="23" t="s">
        <v>3</v>
      </c>
      <c r="U14" s="22"/>
      <c r="V14" s="22"/>
      <c r="W14" s="22"/>
      <c r="X14" s="22"/>
    </row>
    <row r="16" spans="1:24" s="17" customFormat="1">
      <c r="A16" s="25" t="s">
        <v>53</v>
      </c>
      <c r="B16" s="26">
        <v>28.5</v>
      </c>
      <c r="C16" s="26">
        <v>25.7</v>
      </c>
      <c r="D16" s="26">
        <v>27.2</v>
      </c>
      <c r="E16" s="26">
        <v>29.9</v>
      </c>
      <c r="F16" s="26">
        <v>29.1</v>
      </c>
      <c r="G16" s="26">
        <v>24.5</v>
      </c>
      <c r="H16" s="26">
        <v>26.6</v>
      </c>
      <c r="I16" s="26">
        <v>29.4</v>
      </c>
      <c r="J16" s="26">
        <v>24.7</v>
      </c>
      <c r="K16" s="26">
        <v>25.5</v>
      </c>
      <c r="L16" s="26">
        <v>23.9</v>
      </c>
      <c r="M16" s="26">
        <v>26.5</v>
      </c>
      <c r="N16" s="26">
        <v>20.6</v>
      </c>
      <c r="O16" s="26">
        <v>20.100000000000001</v>
      </c>
      <c r="P16" s="26">
        <v>18.399999999999999</v>
      </c>
      <c r="Q16" s="26">
        <v>17</v>
      </c>
      <c r="R16" s="26">
        <v>13.9</v>
      </c>
      <c r="S16" s="26">
        <v>12.4</v>
      </c>
      <c r="T16" s="26">
        <v>15.5</v>
      </c>
      <c r="U16" s="26">
        <v>13.6</v>
      </c>
      <c r="V16" s="26">
        <v>14.9</v>
      </c>
      <c r="W16" s="26">
        <v>16.200000000000003</v>
      </c>
      <c r="X16" s="26">
        <v>22.5</v>
      </c>
    </row>
    <row r="17" spans="1:24" s="21" customFormat="1">
      <c r="A17" s="21" t="s">
        <v>54</v>
      </c>
      <c r="B17" s="21">
        <f t="shared" ref="B17:C17" si="1">+B16/B12</f>
        <v>0.24173027989821882</v>
      </c>
      <c r="C17" s="21">
        <f t="shared" si="1"/>
        <v>0.36197183098591562</v>
      </c>
      <c r="D17" s="21">
        <f t="shared" ref="D17:E17" si="2">+D16/D12</f>
        <v>0.32075471698113206</v>
      </c>
      <c r="E17" s="21">
        <f t="shared" si="2"/>
        <v>0.38831168831168827</v>
      </c>
      <c r="F17" s="21">
        <f t="shared" ref="F17:G17" si="3">+F16/F12</f>
        <v>0.24681933842239187</v>
      </c>
      <c r="G17" s="21">
        <f t="shared" si="3"/>
        <v>0.24281466798810714</v>
      </c>
      <c r="H17" s="21">
        <f t="shared" ref="H17:I17" si="4">+H16/H12</f>
        <v>0.24883068288119739</v>
      </c>
      <c r="I17" s="21">
        <f t="shared" si="4"/>
        <v>0.30278063851699277</v>
      </c>
      <c r="J17" s="21">
        <f t="shared" ref="J17:K17" si="5">+J16/J12</f>
        <v>0.2947494033412888</v>
      </c>
      <c r="K17" s="21">
        <f t="shared" si="5"/>
        <v>0.31874999999999998</v>
      </c>
      <c r="L17" s="21">
        <f t="shared" ref="L17:X17" si="6">+L16/L12</f>
        <v>0.29075425790754256</v>
      </c>
      <c r="M17" s="21">
        <f t="shared" si="6"/>
        <v>0.29842342342342343</v>
      </c>
      <c r="N17" s="21">
        <f t="shared" si="6"/>
        <v>0.25846925972396489</v>
      </c>
      <c r="O17" s="21">
        <f t="shared" si="6"/>
        <v>0.25283018867924528</v>
      </c>
      <c r="P17" s="21">
        <f t="shared" si="6"/>
        <v>0.24274406332453824</v>
      </c>
      <c r="Q17" s="21">
        <f t="shared" si="6"/>
        <v>0.22397891963109354</v>
      </c>
      <c r="R17" s="21">
        <f t="shared" si="6"/>
        <v>0.19015047879616964</v>
      </c>
      <c r="S17" s="21">
        <f t="shared" si="6"/>
        <v>0.19839999999999991</v>
      </c>
      <c r="T17" s="21">
        <f t="shared" si="6"/>
        <v>0.2243125904486252</v>
      </c>
      <c r="U17" s="21">
        <f t="shared" si="6"/>
        <v>0.19318181818181815</v>
      </c>
      <c r="V17" s="21">
        <f t="shared" si="6"/>
        <v>0.21104815864022666</v>
      </c>
      <c r="W17" s="21">
        <f t="shared" si="6"/>
        <v>0.22010869565217389</v>
      </c>
      <c r="X17" s="21">
        <f t="shared" si="6"/>
        <v>0.26785714285714285</v>
      </c>
    </row>
    <row r="18" spans="1:24" s="24" customFormat="1"/>
    <row r="19" spans="1:24"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row>
    <row r="20" spans="1:24"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row>
    <row r="21" spans="1:24"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row>
    <row r="22" spans="1:24" s="17" customFormat="1">
      <c r="A22" s="17" t="s">
        <v>58</v>
      </c>
      <c r="B22" s="27">
        <f t="shared" ref="B22:C22" si="7">B16+SUM(B19:B21)</f>
        <v>28.5</v>
      </c>
      <c r="C22" s="27">
        <f t="shared" si="7"/>
        <v>25.7</v>
      </c>
      <c r="D22" s="27">
        <f t="shared" ref="D22:E22" si="8">D16+SUM(D19:D21)</f>
        <v>27.2</v>
      </c>
      <c r="E22" s="27">
        <f t="shared" si="8"/>
        <v>29.9</v>
      </c>
      <c r="F22" s="27">
        <f t="shared" ref="F22:G22" si="9">F16+SUM(F19:F21)</f>
        <v>29.1</v>
      </c>
      <c r="G22" s="27">
        <f t="shared" si="9"/>
        <v>24.5</v>
      </c>
      <c r="H22" s="27">
        <f t="shared" ref="H22:I22" si="10">H16+SUM(H19:H21)</f>
        <v>26.6</v>
      </c>
      <c r="I22" s="27">
        <f t="shared" si="10"/>
        <v>29.4</v>
      </c>
      <c r="J22" s="27">
        <f t="shared" ref="J22:O22" si="11">J16+SUM(J19:J21)</f>
        <v>24.7</v>
      </c>
      <c r="K22" s="27">
        <f t="shared" si="11"/>
        <v>25.5</v>
      </c>
      <c r="L22" s="27">
        <f t="shared" si="11"/>
        <v>23.9</v>
      </c>
      <c r="M22" s="27">
        <f t="shared" si="11"/>
        <v>26.5</v>
      </c>
      <c r="N22" s="27">
        <f t="shared" si="11"/>
        <v>20.6</v>
      </c>
      <c r="O22" s="27">
        <f t="shared" si="11"/>
        <v>20.100000000000001</v>
      </c>
      <c r="P22" s="27">
        <f t="shared" ref="P22:X22" si="12">P16+SUM(P19:P21)</f>
        <v>18.399999999999999</v>
      </c>
      <c r="Q22" s="27">
        <f t="shared" si="12"/>
        <v>17</v>
      </c>
      <c r="R22" s="27">
        <f t="shared" si="12"/>
        <v>13.9</v>
      </c>
      <c r="S22" s="27">
        <f t="shared" si="12"/>
        <v>12.4</v>
      </c>
      <c r="T22" s="27">
        <f t="shared" si="12"/>
        <v>15.5</v>
      </c>
      <c r="U22" s="27">
        <f t="shared" si="12"/>
        <v>13.6</v>
      </c>
      <c r="V22" s="27">
        <f t="shared" si="12"/>
        <v>14.9</v>
      </c>
      <c r="W22" s="27">
        <f t="shared" si="12"/>
        <v>16.200000000000003</v>
      </c>
      <c r="X22" s="27">
        <f t="shared" si="12"/>
        <v>22.5</v>
      </c>
    </row>
    <row r="23" spans="1:24" s="17" customFormat="1">
      <c r="B23" s="27"/>
      <c r="C23" s="27"/>
      <c r="D23" s="27"/>
      <c r="E23" s="27"/>
      <c r="F23" s="27"/>
      <c r="G23" s="27"/>
      <c r="H23" s="27"/>
      <c r="I23" s="27"/>
      <c r="J23" s="27"/>
      <c r="K23" s="27"/>
      <c r="L23" s="27"/>
      <c r="M23" s="27"/>
      <c r="N23" s="27"/>
      <c r="O23" s="27"/>
      <c r="P23" s="27"/>
      <c r="Q23" s="27"/>
      <c r="R23" s="27"/>
      <c r="S23" s="27"/>
      <c r="T23" s="27"/>
      <c r="U23" s="27"/>
      <c r="V23" s="27"/>
      <c r="W23" s="27"/>
      <c r="X23" s="27"/>
    </row>
    <row r="24" spans="1:24" s="17" customFormat="1">
      <c r="A24" s="17" t="s">
        <v>59</v>
      </c>
      <c r="B24" s="27">
        <f t="shared" ref="B24:U24" si="13">SUM(B22:E22)</f>
        <v>111.30000000000001</v>
      </c>
      <c r="C24" s="27">
        <f t="shared" si="13"/>
        <v>111.9</v>
      </c>
      <c r="D24" s="27">
        <f t="shared" si="13"/>
        <v>110.69999999999999</v>
      </c>
      <c r="E24" s="27">
        <f t="shared" si="13"/>
        <v>110.1</v>
      </c>
      <c r="F24" s="27">
        <f t="shared" si="13"/>
        <v>109.6</v>
      </c>
      <c r="G24" s="27">
        <f t="shared" si="13"/>
        <v>105.2</v>
      </c>
      <c r="H24" s="27">
        <f t="shared" si="13"/>
        <v>106.2</v>
      </c>
      <c r="I24" s="27">
        <f t="shared" si="13"/>
        <v>103.5</v>
      </c>
      <c r="J24" s="27">
        <f t="shared" si="13"/>
        <v>100.6</v>
      </c>
      <c r="K24" s="27">
        <f t="shared" si="13"/>
        <v>96.5</v>
      </c>
      <c r="L24" s="27">
        <f t="shared" si="13"/>
        <v>91.1</v>
      </c>
      <c r="M24" s="27">
        <f t="shared" si="13"/>
        <v>85.6</v>
      </c>
      <c r="N24" s="27">
        <f t="shared" si="13"/>
        <v>76.099999999999994</v>
      </c>
      <c r="O24" s="27">
        <f t="shared" si="13"/>
        <v>69.400000000000006</v>
      </c>
      <c r="P24" s="27">
        <f t="shared" si="13"/>
        <v>61.699999999999996</v>
      </c>
      <c r="Q24" s="27">
        <f t="shared" si="13"/>
        <v>58.8</v>
      </c>
      <c r="R24" s="27">
        <f t="shared" si="13"/>
        <v>55.4</v>
      </c>
      <c r="S24" s="27">
        <f t="shared" si="13"/>
        <v>56.4</v>
      </c>
      <c r="T24" s="27">
        <f t="shared" si="13"/>
        <v>60.2</v>
      </c>
      <c r="U24" s="27">
        <f t="shared" si="13"/>
        <v>67.2</v>
      </c>
      <c r="V24" s="27"/>
      <c r="W24" s="27"/>
      <c r="X24" s="27"/>
    </row>
    <row r="25" spans="1:24" s="24" customFormat="1">
      <c r="A25" s="19" t="s">
        <v>60</v>
      </c>
      <c r="B25" s="28">
        <f>113.9-B24</f>
        <v>2.5999999999999943</v>
      </c>
      <c r="C25" s="28">
        <v>4.2</v>
      </c>
      <c r="D25" s="28">
        <v>5.8</v>
      </c>
      <c r="E25" s="28">
        <v>7.4</v>
      </c>
      <c r="F25" s="28">
        <v>9</v>
      </c>
      <c r="G25" s="28">
        <v>10.6</v>
      </c>
      <c r="H25" s="28">
        <v>12.2</v>
      </c>
      <c r="I25" s="28">
        <f>126.3-I26-I24</f>
        <v>11.5</v>
      </c>
      <c r="J25" s="28">
        <f>127.6-J26-J24</f>
        <v>13.900000000000006</v>
      </c>
      <c r="K25" s="28">
        <v>2.4</v>
      </c>
      <c r="L25" s="28">
        <v>5.4</v>
      </c>
      <c r="M25" s="28">
        <v>7.4</v>
      </c>
      <c r="N25" s="28">
        <v>11.5</v>
      </c>
      <c r="O25" s="28">
        <v>12.4</v>
      </c>
      <c r="P25" s="28">
        <f>73.9-P24</f>
        <v>12.20000000000001</v>
      </c>
      <c r="Q25" s="28">
        <v>11.8</v>
      </c>
      <c r="R25" s="28">
        <f>66.4-R24</f>
        <v>11.000000000000007</v>
      </c>
      <c r="S25" s="28">
        <f>67.6-S24</f>
        <v>11.199999999999996</v>
      </c>
      <c r="T25" s="28">
        <f>72-T24</f>
        <v>11.799999999999997</v>
      </c>
      <c r="U25" s="28">
        <v>13.4</v>
      </c>
      <c r="V25" s="28"/>
      <c r="W25" s="28"/>
      <c r="X25" s="28"/>
    </row>
    <row r="26" spans="1:24" s="24" customFormat="1">
      <c r="A26" s="19" t="s">
        <v>61</v>
      </c>
      <c r="B26" s="29">
        <v>0</v>
      </c>
      <c r="C26" s="29">
        <f>116.1-C25-C24</f>
        <v>0</v>
      </c>
      <c r="D26" s="29">
        <f>116.5-D25-D24</f>
        <v>0</v>
      </c>
      <c r="E26" s="29">
        <f>117.5-E25-E24</f>
        <v>0</v>
      </c>
      <c r="F26" s="29">
        <f>118.6-F25-F24</f>
        <v>0</v>
      </c>
      <c r="G26" s="29">
        <f>119.8-G25-G24</f>
        <v>4</v>
      </c>
      <c r="H26" s="29">
        <f>125.8-H25-H24</f>
        <v>7.3999999999999915</v>
      </c>
      <c r="I26" s="29">
        <f>11.3</f>
        <v>11.3</v>
      </c>
      <c r="J26" s="29">
        <v>13.1</v>
      </c>
      <c r="K26" s="29">
        <v>0</v>
      </c>
      <c r="L26" s="29">
        <v>0</v>
      </c>
      <c r="M26" s="29">
        <v>0</v>
      </c>
      <c r="N26" s="29">
        <v>0</v>
      </c>
      <c r="O26" s="29">
        <v>0</v>
      </c>
      <c r="P26" s="29">
        <v>0</v>
      </c>
      <c r="Q26" s="29">
        <v>0</v>
      </c>
      <c r="R26" s="29">
        <v>0</v>
      </c>
      <c r="S26" s="29">
        <v>0</v>
      </c>
      <c r="T26" s="29">
        <v>0</v>
      </c>
      <c r="U26" s="29">
        <v>0</v>
      </c>
      <c r="V26" s="30"/>
      <c r="W26" s="30"/>
      <c r="X26" s="30"/>
    </row>
    <row r="27" spans="1:24" s="32" customFormat="1">
      <c r="A27" s="17" t="s">
        <v>62</v>
      </c>
      <c r="B27" s="27">
        <f t="shared" ref="B27" si="14">SUM(B24:B26)</f>
        <v>113.9</v>
      </c>
      <c r="C27" s="27">
        <f t="shared" ref="C27:J27" si="15">SUM(C24:C26)</f>
        <v>116.10000000000001</v>
      </c>
      <c r="D27" s="27">
        <f t="shared" si="15"/>
        <v>116.49999999999999</v>
      </c>
      <c r="E27" s="27">
        <f t="shared" si="15"/>
        <v>117.5</v>
      </c>
      <c r="F27" s="27">
        <f t="shared" si="15"/>
        <v>118.6</v>
      </c>
      <c r="G27" s="27">
        <f t="shared" si="15"/>
        <v>119.8</v>
      </c>
      <c r="H27" s="27">
        <f t="shared" si="15"/>
        <v>125.8</v>
      </c>
      <c r="I27" s="27">
        <f t="shared" si="15"/>
        <v>126.3</v>
      </c>
      <c r="J27" s="27">
        <f t="shared" si="15"/>
        <v>127.6</v>
      </c>
      <c r="K27" s="27">
        <f t="shared" ref="K27:U27" si="16">SUM(K24:K26)</f>
        <v>98.9</v>
      </c>
      <c r="L27" s="27">
        <f t="shared" si="16"/>
        <v>96.5</v>
      </c>
      <c r="M27" s="27">
        <f t="shared" si="16"/>
        <v>93</v>
      </c>
      <c r="N27" s="27">
        <f t="shared" si="16"/>
        <v>87.6</v>
      </c>
      <c r="O27" s="27">
        <f t="shared" si="16"/>
        <v>81.800000000000011</v>
      </c>
      <c r="P27" s="27">
        <f t="shared" si="16"/>
        <v>73.900000000000006</v>
      </c>
      <c r="Q27" s="27">
        <f t="shared" si="16"/>
        <v>70.599999999999994</v>
      </c>
      <c r="R27" s="27">
        <f t="shared" si="16"/>
        <v>66.400000000000006</v>
      </c>
      <c r="S27" s="27">
        <f t="shared" si="16"/>
        <v>67.599999999999994</v>
      </c>
      <c r="T27" s="27">
        <f t="shared" si="16"/>
        <v>72</v>
      </c>
      <c r="U27" s="27">
        <f t="shared" si="16"/>
        <v>80.600000000000009</v>
      </c>
      <c r="V27" s="31"/>
      <c r="W27" s="31"/>
      <c r="X27" s="31"/>
    </row>
    <row r="28" spans="1:24" s="24" customFormat="1"/>
    <row r="29" spans="1:24" s="17" customFormat="1">
      <c r="A29" s="27" t="str">
        <f t="shared" ref="A29:O29" si="17">A22</f>
        <v>PF EBITDA</v>
      </c>
      <c r="B29" s="27">
        <f t="shared" ref="B29" si="18">B22</f>
        <v>28.5</v>
      </c>
      <c r="C29" s="27">
        <f t="shared" si="17"/>
        <v>25.7</v>
      </c>
      <c r="D29" s="27">
        <f t="shared" si="17"/>
        <v>27.2</v>
      </c>
      <c r="E29" s="27">
        <f t="shared" si="17"/>
        <v>29.9</v>
      </c>
      <c r="F29" s="27">
        <f t="shared" si="17"/>
        <v>29.1</v>
      </c>
      <c r="G29" s="27">
        <f t="shared" si="17"/>
        <v>24.5</v>
      </c>
      <c r="H29" s="27">
        <f t="shared" si="17"/>
        <v>26.6</v>
      </c>
      <c r="I29" s="27">
        <f t="shared" si="17"/>
        <v>29.4</v>
      </c>
      <c r="J29" s="27">
        <f t="shared" si="17"/>
        <v>24.7</v>
      </c>
      <c r="K29" s="27">
        <f t="shared" si="17"/>
        <v>25.5</v>
      </c>
      <c r="L29" s="27">
        <f t="shared" si="17"/>
        <v>23.9</v>
      </c>
      <c r="M29" s="27">
        <f t="shared" si="17"/>
        <v>26.5</v>
      </c>
      <c r="N29" s="27">
        <f t="shared" si="17"/>
        <v>20.6</v>
      </c>
      <c r="O29" s="27">
        <f t="shared" si="17"/>
        <v>20.100000000000001</v>
      </c>
      <c r="P29" s="27">
        <f t="shared" ref="P29:X29" si="19">P22</f>
        <v>18.399999999999999</v>
      </c>
      <c r="Q29" s="27">
        <f t="shared" si="19"/>
        <v>17</v>
      </c>
      <c r="R29" s="27">
        <f t="shared" si="19"/>
        <v>13.9</v>
      </c>
      <c r="S29" s="27">
        <f t="shared" si="19"/>
        <v>12.4</v>
      </c>
      <c r="T29" s="27">
        <f t="shared" si="19"/>
        <v>15.5</v>
      </c>
      <c r="U29" s="27">
        <f t="shared" si="19"/>
        <v>13.6</v>
      </c>
      <c r="V29" s="27">
        <f t="shared" si="19"/>
        <v>14.9</v>
      </c>
      <c r="W29" s="27">
        <f t="shared" si="19"/>
        <v>16.200000000000003</v>
      </c>
      <c r="X29" s="27">
        <f t="shared" si="19"/>
        <v>22.5</v>
      </c>
    </row>
    <row r="30" spans="1:24" s="33" customFormat="1">
      <c r="A30" s="20" t="s">
        <v>63</v>
      </c>
      <c r="B30" s="20">
        <v>-9.1999999999999993</v>
      </c>
      <c r="C30" s="20">
        <f>-48.8-D30-E30-F30</f>
        <v>-10.699999999999996</v>
      </c>
      <c r="D30" s="20">
        <v>-12</v>
      </c>
      <c r="E30" s="20">
        <v>-12.1</v>
      </c>
      <c r="F30" s="20">
        <v>-14</v>
      </c>
      <c r="G30" s="20">
        <f>-49.6-H30-I30-J30</f>
        <v>-12.400000000000007</v>
      </c>
      <c r="H30" s="20">
        <v>-14.2</v>
      </c>
      <c r="I30" s="20">
        <v>-12.4</v>
      </c>
      <c r="J30" s="20">
        <v>-10.6</v>
      </c>
      <c r="K30" s="20">
        <v>-10.400000000000006</v>
      </c>
      <c r="L30" s="20">
        <v>-10.7</v>
      </c>
      <c r="M30" s="20">
        <v>-13.6</v>
      </c>
      <c r="N30" s="20">
        <v>-9.5</v>
      </c>
      <c r="O30" s="20">
        <f>-35.7-P30-Q30-R30</f>
        <v>-9.3000000000000025</v>
      </c>
      <c r="P30" s="20">
        <v>-9.1</v>
      </c>
      <c r="Q30" s="20">
        <v>-8.9</v>
      </c>
      <c r="R30" s="20">
        <v>-8.4</v>
      </c>
      <c r="S30" s="20">
        <v>-8.5999999999999979</v>
      </c>
      <c r="T30" s="20">
        <v>-8.1</v>
      </c>
      <c r="U30" s="20">
        <v>-8.3000000000000007</v>
      </c>
      <c r="V30" s="20">
        <v>-7.4</v>
      </c>
      <c r="W30" s="20">
        <v>-7.3000000000000016</v>
      </c>
      <c r="X30" s="20">
        <v>-6.8</v>
      </c>
    </row>
    <row r="31" spans="1:24" s="33" customFormat="1">
      <c r="A31" s="20" t="s">
        <v>64</v>
      </c>
      <c r="B31" s="20">
        <v>-1</v>
      </c>
      <c r="C31" s="20">
        <f>-2.6-D31-E31-F31</f>
        <v>-0.40000000000000036</v>
      </c>
      <c r="D31" s="20">
        <v>-0.3</v>
      </c>
      <c r="E31" s="20">
        <v>-0.7</v>
      </c>
      <c r="F31" s="20">
        <v>-1.2</v>
      </c>
      <c r="G31" s="20">
        <f>-4.4-H31-I31-J31</f>
        <v>-0.90000000000000024</v>
      </c>
      <c r="H31" s="20">
        <v>-2.6</v>
      </c>
      <c r="I31" s="20">
        <v>-0.8</v>
      </c>
      <c r="J31" s="20">
        <v>-0.1</v>
      </c>
      <c r="K31" s="20">
        <v>-1.6000000000000014</v>
      </c>
      <c r="L31" s="20">
        <v>-7.1</v>
      </c>
      <c r="M31" s="20">
        <v>-3.9</v>
      </c>
      <c r="N31" s="20">
        <v>-0.2</v>
      </c>
      <c r="O31" s="20">
        <f>-1-P31-Q31-R31</f>
        <v>-1.6</v>
      </c>
      <c r="P31" s="20">
        <v>-0.1</v>
      </c>
      <c r="Q31" s="20">
        <v>0.3</v>
      </c>
      <c r="R31" s="20">
        <v>0.4</v>
      </c>
      <c r="S31" s="20">
        <v>4.2</v>
      </c>
      <c r="T31" s="20">
        <v>-0.5</v>
      </c>
      <c r="U31" s="20">
        <v>-1</v>
      </c>
      <c r="V31" s="20">
        <v>-0.3</v>
      </c>
      <c r="W31" s="20">
        <v>0.59999999999999964</v>
      </c>
      <c r="X31" s="20">
        <v>-4.5999999999999996</v>
      </c>
    </row>
    <row r="32" spans="1:24" s="33" customFormat="1">
      <c r="A32" s="20" t="s">
        <v>65</v>
      </c>
      <c r="B32" s="20">
        <f>3.3-7.4-0.1+3.8+0.1+0.1-1.1</f>
        <v>-1.3000000000000005</v>
      </c>
      <c r="C32" s="20">
        <f>11.5+13.3-0.5-4.6+2.1+0.8-D32-E32-F32</f>
        <v>4.7000000000000046</v>
      </c>
      <c r="D32" s="20">
        <v>5.8999999999999995</v>
      </c>
      <c r="E32" s="20">
        <f>7.5+18+0.1-7.3+2.3+0.3+0.5</f>
        <v>21.400000000000002</v>
      </c>
      <c r="F32" s="20">
        <f>-2.1-5.8-1+1.1-0.5-0.1-1</f>
        <v>-9.4</v>
      </c>
      <c r="G32" s="20">
        <f>4.6+5.7-0.3+3.9-4.1+5.2+0.7-H32-I32-J32</f>
        <v>11.5</v>
      </c>
      <c r="H32" s="20">
        <f>4.5+2.1+1.2+0.1+1.7-2-0.7</f>
        <v>6.8999999999999995</v>
      </c>
      <c r="I32" s="20">
        <f>3+1.4-0.7-0.8-2+0.4+0.1</f>
        <v>1.4000000000000004</v>
      </c>
      <c r="J32" s="20">
        <f>-2.8-3.3-1.6+1.9-1.7+3.7-0.3</f>
        <v>-4.0999999999999988</v>
      </c>
      <c r="K32" s="20">
        <v>-10.3</v>
      </c>
      <c r="L32" s="20">
        <f>-3.6+0.4+0.1-0.4+1.9-5-0.1</f>
        <v>-6.6999999999999993</v>
      </c>
      <c r="M32" s="20">
        <f>-1.6-2.5+0.3+3.3-1.4+1.3-0.6</f>
        <v>-1.1999999999999997</v>
      </c>
      <c r="N32" s="20">
        <v>-2.8000000000000007</v>
      </c>
      <c r="O32" s="20">
        <f>-3.6-8.7-0.6-0.9+1.8+1.4-1.5-P32-Q32-R32</f>
        <v>-2.5</v>
      </c>
      <c r="P32" s="20">
        <v>-4.3</v>
      </c>
      <c r="Q32" s="20">
        <v>3.3000000000000003</v>
      </c>
      <c r="R32" s="20">
        <v>-8.5999999999999979</v>
      </c>
      <c r="S32" s="20">
        <v>17.100000000000005</v>
      </c>
      <c r="T32" s="20">
        <v>0.79999999999999982</v>
      </c>
      <c r="U32" s="20">
        <v>5.3</v>
      </c>
      <c r="V32" s="20">
        <v>-1.4000000000000004</v>
      </c>
      <c r="W32" s="20">
        <v>14.1</v>
      </c>
      <c r="X32" s="20">
        <v>10.299999999999999</v>
      </c>
    </row>
    <row r="33" spans="1:24"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c r="W33" s="20">
        <v>0</v>
      </c>
      <c r="X33" s="20">
        <v>0</v>
      </c>
    </row>
    <row r="34" spans="1:24" s="33" customFormat="1">
      <c r="A34" s="20" t="s">
        <v>57</v>
      </c>
      <c r="B34" s="29">
        <f t="shared" ref="B34" si="20">B35-SUM(B29:B33)</f>
        <v>-9.8000000000000007</v>
      </c>
      <c r="C34" s="29">
        <f t="shared" ref="C34:E34" si="21">C35-SUM(C29:C33)</f>
        <v>-12.000000000000009</v>
      </c>
      <c r="D34" s="29">
        <f t="shared" si="21"/>
        <v>-8.0999999999999979</v>
      </c>
      <c r="E34" s="29">
        <f t="shared" si="21"/>
        <v>-19.899999999999999</v>
      </c>
      <c r="F34" s="29">
        <f t="shared" ref="F34:G34" si="22">F35-SUM(F29:F33)</f>
        <v>-7.6000000000000014</v>
      </c>
      <c r="G34" s="29">
        <f t="shared" si="22"/>
        <v>-12.099999999999991</v>
      </c>
      <c r="H34" s="29">
        <f t="shared" ref="H34:P34" si="23">H35-SUM(H29:H33)</f>
        <v>-1.0000000000000036</v>
      </c>
      <c r="I34" s="29">
        <f t="shared" si="23"/>
        <v>-16.700000000000003</v>
      </c>
      <c r="J34" s="29">
        <f t="shared" si="23"/>
        <v>-6.1000000000000023</v>
      </c>
      <c r="K34" s="29">
        <f t="shared" si="23"/>
        <v>2.1000000000000085</v>
      </c>
      <c r="L34" s="29">
        <f t="shared" si="23"/>
        <v>2.8999999999999995</v>
      </c>
      <c r="M34" s="29">
        <f t="shared" si="23"/>
        <v>0.79999999999999893</v>
      </c>
      <c r="N34" s="29">
        <f t="shared" si="23"/>
        <v>-1.0000000000000018</v>
      </c>
      <c r="O34" s="29">
        <f t="shared" si="23"/>
        <v>-6.1</v>
      </c>
      <c r="P34" s="29">
        <f t="shared" si="23"/>
        <v>0.40000000000000036</v>
      </c>
      <c r="Q34" s="29">
        <f t="shared" ref="Q34:X34" si="24">Q35-SUM(Q29:Q33)</f>
        <v>-5.5000000000000009</v>
      </c>
      <c r="R34" s="29">
        <f t="shared" si="24"/>
        <v>-3.8000000000000025</v>
      </c>
      <c r="S34" s="29">
        <f t="shared" si="24"/>
        <v>-15.80000000000001</v>
      </c>
      <c r="T34" s="29">
        <f t="shared" si="24"/>
        <v>-6</v>
      </c>
      <c r="U34" s="29">
        <f t="shared" si="24"/>
        <v>-7.0999999999999979</v>
      </c>
      <c r="V34" s="29">
        <f t="shared" si="24"/>
        <v>-9.1999999999999993</v>
      </c>
      <c r="W34" s="29">
        <f t="shared" si="24"/>
        <v>-10.200000000000003</v>
      </c>
      <c r="X34" s="29">
        <f t="shared" si="24"/>
        <v>0.70000000000000284</v>
      </c>
    </row>
    <row r="35" spans="1:24" s="27" customFormat="1">
      <c r="A35" s="27" t="s">
        <v>67</v>
      </c>
      <c r="B35" s="27">
        <v>7.2</v>
      </c>
      <c r="C35" s="27">
        <f>35.5-D35-E35-F35</f>
        <v>7.2999999999999989</v>
      </c>
      <c r="D35" s="27">
        <v>12.7</v>
      </c>
      <c r="E35" s="27">
        <v>18.600000000000001</v>
      </c>
      <c r="F35" s="27">
        <v>-3.1</v>
      </c>
      <c r="G35" s="27">
        <f>31-H35-I35-J35</f>
        <v>10.600000000000001</v>
      </c>
      <c r="H35" s="27">
        <v>15.7</v>
      </c>
      <c r="I35" s="27">
        <v>0.9</v>
      </c>
      <c r="J35" s="27">
        <v>3.8</v>
      </c>
      <c r="K35" s="27">
        <v>5.3000000000000007</v>
      </c>
      <c r="L35" s="27">
        <v>2.2999999999999998</v>
      </c>
      <c r="M35" s="27">
        <v>8.6</v>
      </c>
      <c r="N35" s="27">
        <v>7.1</v>
      </c>
      <c r="O35" s="27">
        <f>5.6-P35-Q35-R35</f>
        <v>0.59999999999999964</v>
      </c>
      <c r="P35" s="27">
        <v>5.3</v>
      </c>
      <c r="Q35" s="27">
        <v>6.2</v>
      </c>
      <c r="R35" s="27">
        <v>-6.5</v>
      </c>
      <c r="S35" s="27">
        <v>9.2999999999999989</v>
      </c>
      <c r="T35" s="27">
        <v>1.7</v>
      </c>
      <c r="U35" s="27">
        <v>2.5</v>
      </c>
      <c r="V35" s="27">
        <v>-3.4</v>
      </c>
      <c r="W35" s="27">
        <v>13.399999999999999</v>
      </c>
      <c r="X35" s="27">
        <v>22.1</v>
      </c>
    </row>
    <row r="36" spans="1:24" s="33" customFormat="1">
      <c r="A36" s="20" t="s">
        <v>68</v>
      </c>
      <c r="B36" s="29">
        <v>-1.5</v>
      </c>
      <c r="C36" s="29">
        <f>-7.5-D36-E36-F36</f>
        <v>-1.1000000000000005</v>
      </c>
      <c r="D36" s="29">
        <v>-1.7</v>
      </c>
      <c r="E36" s="29">
        <v>-1.4</v>
      </c>
      <c r="F36" s="29">
        <v>-3.3</v>
      </c>
      <c r="G36" s="29">
        <f>-8.9-H36-I36-J36</f>
        <v>-2.1000000000000005</v>
      </c>
      <c r="H36" s="29">
        <v>-3.3</v>
      </c>
      <c r="I36" s="29">
        <v>-1.5</v>
      </c>
      <c r="J36" s="29">
        <v>-2</v>
      </c>
      <c r="K36" s="29">
        <v>-1.5</v>
      </c>
      <c r="L36" s="29">
        <v>-1.7</v>
      </c>
      <c r="M36" s="29">
        <v>-1.2</v>
      </c>
      <c r="N36" s="29">
        <v>-3.5</v>
      </c>
      <c r="O36" s="29">
        <f>-15.4-P36-Q36-R36</f>
        <v>-4.200000000000002</v>
      </c>
      <c r="P36" s="29">
        <v>-4.8</v>
      </c>
      <c r="Q36" s="29">
        <v>-4.0999999999999996</v>
      </c>
      <c r="R36" s="29">
        <v>-2.2999999999999998</v>
      </c>
      <c r="S36" s="29">
        <v>2.8000000000000007</v>
      </c>
      <c r="T36" s="29">
        <v>-3.2</v>
      </c>
      <c r="U36" s="29">
        <v>0.79999999999999982</v>
      </c>
      <c r="V36" s="29">
        <v>-8.8000000000000007</v>
      </c>
      <c r="W36" s="29">
        <v>-7.8000000000000007</v>
      </c>
      <c r="X36" s="29">
        <v>-9.8000000000000007</v>
      </c>
    </row>
    <row r="37" spans="1:24" s="27" customFormat="1">
      <c r="A37" s="27" t="s">
        <v>69</v>
      </c>
      <c r="B37" s="27">
        <f t="shared" ref="B37:X37" si="25">+B35+B36</f>
        <v>5.7</v>
      </c>
      <c r="C37" s="27">
        <f t="shared" si="25"/>
        <v>6.1999999999999984</v>
      </c>
      <c r="D37" s="27">
        <f t="shared" si="25"/>
        <v>11</v>
      </c>
      <c r="E37" s="27">
        <f t="shared" si="25"/>
        <v>17.200000000000003</v>
      </c>
      <c r="F37" s="27">
        <f t="shared" si="25"/>
        <v>-6.4</v>
      </c>
      <c r="G37" s="27">
        <f t="shared" si="25"/>
        <v>8.5</v>
      </c>
      <c r="H37" s="27">
        <f t="shared" si="25"/>
        <v>12.399999999999999</v>
      </c>
      <c r="I37" s="27">
        <f t="shared" si="25"/>
        <v>-0.6</v>
      </c>
      <c r="J37" s="27">
        <f t="shared" si="25"/>
        <v>1.7999999999999998</v>
      </c>
      <c r="K37" s="27">
        <f t="shared" si="25"/>
        <v>3.8000000000000007</v>
      </c>
      <c r="L37" s="27">
        <f t="shared" si="25"/>
        <v>0.59999999999999987</v>
      </c>
      <c r="M37" s="27">
        <f t="shared" si="25"/>
        <v>7.3999999999999995</v>
      </c>
      <c r="N37" s="27">
        <f t="shared" si="25"/>
        <v>3.5999999999999996</v>
      </c>
      <c r="O37" s="27">
        <f t="shared" si="25"/>
        <v>-3.6000000000000023</v>
      </c>
      <c r="P37" s="27">
        <f t="shared" si="25"/>
        <v>0.5</v>
      </c>
      <c r="Q37" s="27">
        <f t="shared" si="25"/>
        <v>2.1000000000000005</v>
      </c>
      <c r="R37" s="27">
        <f t="shared" si="25"/>
        <v>-8.8000000000000007</v>
      </c>
      <c r="S37" s="27">
        <f t="shared" si="25"/>
        <v>12.1</v>
      </c>
      <c r="T37" s="27">
        <f t="shared" si="25"/>
        <v>-1.5000000000000002</v>
      </c>
      <c r="U37" s="27">
        <f t="shared" si="25"/>
        <v>3.3</v>
      </c>
      <c r="V37" s="27">
        <f t="shared" si="25"/>
        <v>-12.200000000000001</v>
      </c>
      <c r="W37" s="27">
        <f t="shared" si="25"/>
        <v>5.5999999999999979</v>
      </c>
      <c r="X37" s="27">
        <f t="shared" si="25"/>
        <v>12.3</v>
      </c>
    </row>
    <row r="39" spans="1:24" s="35" customFormat="1">
      <c r="A39" s="34" t="s">
        <v>70</v>
      </c>
      <c r="B39" s="20">
        <v>0</v>
      </c>
      <c r="C39" s="20">
        <v>0</v>
      </c>
      <c r="D39" s="20">
        <v>0</v>
      </c>
      <c r="E39" s="20">
        <v>0</v>
      </c>
      <c r="F39" s="20">
        <f>G39</f>
        <v>0</v>
      </c>
      <c r="G39" s="20">
        <f>H39</f>
        <v>0</v>
      </c>
      <c r="H39" s="20">
        <f>I39</f>
        <v>0</v>
      </c>
      <c r="I39" s="20">
        <f>J39</f>
        <v>0</v>
      </c>
      <c r="J39" s="20">
        <v>0</v>
      </c>
      <c r="K39" s="20">
        <v>0</v>
      </c>
      <c r="L39" s="20">
        <v>0</v>
      </c>
      <c r="M39" s="20">
        <v>0</v>
      </c>
      <c r="N39" s="20">
        <v>0</v>
      </c>
      <c r="O39" s="20">
        <v>0</v>
      </c>
      <c r="P39" s="20">
        <v>0</v>
      </c>
      <c r="Q39" s="20">
        <v>0</v>
      </c>
      <c r="R39" s="20">
        <v>0</v>
      </c>
      <c r="S39" s="20">
        <v>0</v>
      </c>
      <c r="T39" s="20">
        <v>0</v>
      </c>
      <c r="U39" s="20">
        <v>0</v>
      </c>
      <c r="V39" s="20"/>
      <c r="W39" s="20"/>
      <c r="X39" s="20"/>
    </row>
    <row r="40" spans="1:24" s="35" customFormat="1">
      <c r="A40" s="34" t="s">
        <v>71</v>
      </c>
      <c r="B40" s="20">
        <v>466.7</v>
      </c>
      <c r="C40" s="20">
        <f>467.9+3.3+10.5</f>
        <v>481.7</v>
      </c>
      <c r="D40" s="20">
        <v>484.1</v>
      </c>
      <c r="E40" s="20">
        <f>470.2+13.5+3</f>
        <v>486.7</v>
      </c>
      <c r="F40" s="20">
        <f>471.4+14.5+3</f>
        <v>488.9</v>
      </c>
      <c r="G40" s="20">
        <f>472.6+16.5</f>
        <v>489.1</v>
      </c>
      <c r="H40" s="20">
        <f>473.8+18</f>
        <v>491.8</v>
      </c>
      <c r="I40" s="20">
        <f>475+19.5</f>
        <v>494.5</v>
      </c>
      <c r="J40" s="20">
        <f>520+21</f>
        <v>541</v>
      </c>
      <c r="K40" s="20">
        <v>554.5</v>
      </c>
      <c r="L40" s="20">
        <v>557.4</v>
      </c>
      <c r="M40" s="20">
        <v>560.29999999999995</v>
      </c>
      <c r="N40" s="20">
        <f>536.2+27</f>
        <v>563.20000000000005</v>
      </c>
      <c r="O40" s="20">
        <f>537.6+28.4</f>
        <v>566</v>
      </c>
      <c r="P40" s="20">
        <v>568.9</v>
      </c>
      <c r="Q40" s="20">
        <f>567.5-Q39</f>
        <v>567.5</v>
      </c>
      <c r="R40" s="20">
        <f>567.5-R39</f>
        <v>567.5</v>
      </c>
      <c r="S40" s="20">
        <f>568.1-S39</f>
        <v>568.1</v>
      </c>
      <c r="T40" s="20">
        <f>567.4-T39</f>
        <v>567.4</v>
      </c>
      <c r="U40" s="20">
        <f>567.2-U39</f>
        <v>567.20000000000005</v>
      </c>
      <c r="V40" s="20"/>
      <c r="W40" s="20"/>
      <c r="X40" s="20"/>
    </row>
    <row r="41" spans="1:24" s="35" customFormat="1">
      <c r="A41" s="34" t="s">
        <v>72</v>
      </c>
      <c r="B41" s="20">
        <f t="shared" ref="B41:I41" si="26">B39+B40+150</f>
        <v>616.70000000000005</v>
      </c>
      <c r="C41" s="20">
        <f t="shared" si="26"/>
        <v>631.70000000000005</v>
      </c>
      <c r="D41" s="20">
        <f t="shared" si="26"/>
        <v>634.1</v>
      </c>
      <c r="E41" s="20">
        <f t="shared" si="26"/>
        <v>636.70000000000005</v>
      </c>
      <c r="F41" s="20">
        <f t="shared" si="26"/>
        <v>638.9</v>
      </c>
      <c r="G41" s="20">
        <f t="shared" si="26"/>
        <v>639.1</v>
      </c>
      <c r="H41" s="20">
        <f t="shared" si="26"/>
        <v>641.79999999999995</v>
      </c>
      <c r="I41" s="20">
        <f t="shared" si="26"/>
        <v>644.5</v>
      </c>
      <c r="J41" s="20">
        <f>J39+J40+105</f>
        <v>646</v>
      </c>
      <c r="K41" s="20">
        <f>K39+K40+90</f>
        <v>644.5</v>
      </c>
      <c r="L41" s="20">
        <f>L39+L40+90</f>
        <v>647.4</v>
      </c>
      <c r="M41" s="20">
        <f>M39+M40+90</f>
        <v>650.29999999999995</v>
      </c>
      <c r="N41" s="20">
        <f>N39+N40+90</f>
        <v>653.20000000000005</v>
      </c>
      <c r="O41" s="20">
        <f>O39+O40+90</f>
        <v>656</v>
      </c>
      <c r="P41" s="20">
        <v>658.9</v>
      </c>
      <c r="Q41" s="20">
        <v>657.5</v>
      </c>
      <c r="R41" s="20">
        <v>657.5</v>
      </c>
      <c r="S41" s="20">
        <v>658.1</v>
      </c>
      <c r="T41" s="20">
        <v>657.4</v>
      </c>
      <c r="U41" s="20">
        <v>657.2</v>
      </c>
      <c r="V41" s="20"/>
      <c r="W41" s="20"/>
      <c r="X41" s="20"/>
    </row>
    <row r="42" spans="1:24" s="35" customFormat="1">
      <c r="A42" s="34" t="s">
        <v>73</v>
      </c>
      <c r="B42" s="36">
        <f t="shared" ref="B42:I42" si="27">C42</f>
        <v>565</v>
      </c>
      <c r="C42" s="36">
        <f t="shared" si="27"/>
        <v>565</v>
      </c>
      <c r="D42" s="36">
        <f t="shared" si="27"/>
        <v>565</v>
      </c>
      <c r="E42" s="36">
        <f t="shared" si="27"/>
        <v>565</v>
      </c>
      <c r="F42" s="36">
        <f t="shared" si="27"/>
        <v>565</v>
      </c>
      <c r="G42" s="36">
        <f t="shared" si="27"/>
        <v>565</v>
      </c>
      <c r="H42" s="36">
        <f t="shared" si="27"/>
        <v>565</v>
      </c>
      <c r="I42" s="36">
        <f t="shared" si="27"/>
        <v>565</v>
      </c>
      <c r="J42" s="36">
        <v>565</v>
      </c>
      <c r="K42" s="36">
        <v>431</v>
      </c>
      <c r="L42" s="36">
        <v>0</v>
      </c>
      <c r="M42" s="36">
        <v>0</v>
      </c>
      <c r="N42" s="36">
        <v>0</v>
      </c>
      <c r="O42" s="36">
        <v>0</v>
      </c>
      <c r="P42" s="36">
        <v>0</v>
      </c>
      <c r="Q42" s="36">
        <v>0</v>
      </c>
      <c r="R42" s="36">
        <v>0</v>
      </c>
      <c r="S42" s="36">
        <v>0</v>
      </c>
      <c r="T42" s="36">
        <v>0</v>
      </c>
      <c r="U42" s="36">
        <v>0</v>
      </c>
      <c r="V42" s="36"/>
      <c r="W42" s="36"/>
      <c r="X42" s="36"/>
    </row>
    <row r="43" spans="1:24">
      <c r="B43" s="35"/>
      <c r="C43" s="35"/>
      <c r="D43" s="35"/>
      <c r="E43" s="35"/>
      <c r="F43" s="35"/>
      <c r="G43" s="35"/>
      <c r="H43" s="35"/>
      <c r="I43" s="35"/>
      <c r="J43" s="35"/>
      <c r="K43" s="35"/>
      <c r="L43" s="35"/>
      <c r="M43" s="35"/>
      <c r="N43" s="35"/>
      <c r="O43" s="35"/>
      <c r="P43" s="35"/>
      <c r="Q43" s="35"/>
      <c r="R43" s="35"/>
      <c r="S43" s="35"/>
    </row>
    <row r="44" spans="1:24">
      <c r="A44" s="19" t="s">
        <v>74</v>
      </c>
      <c r="B44" s="28">
        <v>92.7</v>
      </c>
      <c r="C44" s="28">
        <v>96.4</v>
      </c>
      <c r="D44" s="28">
        <v>89.2</v>
      </c>
      <c r="E44" s="28">
        <v>79.8</v>
      </c>
      <c r="F44" s="28">
        <v>63.9</v>
      </c>
      <c r="G44" s="28">
        <v>80.099999999999994</v>
      </c>
      <c r="H44" s="28">
        <v>76.400000000000006</v>
      </c>
      <c r="I44" s="28">
        <v>71</v>
      </c>
      <c r="J44" s="28">
        <v>65</v>
      </c>
      <c r="K44" s="28">
        <v>68.2</v>
      </c>
      <c r="L44" s="28">
        <v>66</v>
      </c>
      <c r="M44" s="28">
        <v>68.400000000000006</v>
      </c>
      <c r="N44" s="28">
        <v>65.3</v>
      </c>
      <c r="O44" s="28">
        <v>63.3</v>
      </c>
      <c r="P44" s="28">
        <v>70</v>
      </c>
      <c r="Q44" s="28">
        <v>68.400000000000006</v>
      </c>
      <c r="R44" s="28">
        <v>55.3</v>
      </c>
      <c r="S44" s="28">
        <v>64.400000000000006</v>
      </c>
      <c r="T44" s="28">
        <v>51.9</v>
      </c>
      <c r="U44" s="28">
        <v>53.3</v>
      </c>
      <c r="V44" s="28"/>
      <c r="W44" s="28"/>
      <c r="X44" s="28"/>
    </row>
    <row r="46" spans="1:24">
      <c r="A46" s="14" t="s">
        <v>75</v>
      </c>
      <c r="B46" s="51">
        <v>440.1</v>
      </c>
      <c r="C46" s="51">
        <v>440.1</v>
      </c>
      <c r="D46" s="51">
        <v>440.6</v>
      </c>
      <c r="E46" s="51">
        <v>442.4</v>
      </c>
      <c r="F46" s="51">
        <v>445.6</v>
      </c>
      <c r="G46" s="51">
        <v>433</v>
      </c>
      <c r="H46" s="51">
        <v>441.3</v>
      </c>
      <c r="I46" s="51">
        <v>444.8</v>
      </c>
      <c r="J46" s="51">
        <v>453</v>
      </c>
      <c r="K46" s="33">
        <f t="shared" ref="K46:U46" si="28">SUM(K12:N12)</f>
        <v>330.7</v>
      </c>
      <c r="L46" s="33">
        <f t="shared" si="28"/>
        <v>330.2</v>
      </c>
      <c r="M46" s="33">
        <f t="shared" si="28"/>
        <v>323.8</v>
      </c>
      <c r="N46" s="33">
        <f t="shared" si="28"/>
        <v>310.89999999999998</v>
      </c>
      <c r="O46" s="33">
        <f t="shared" si="28"/>
        <v>304.3</v>
      </c>
      <c r="P46" s="33">
        <f t="shared" si="28"/>
        <v>287.3</v>
      </c>
      <c r="Q46" s="33">
        <f t="shared" si="28"/>
        <v>280.60000000000002</v>
      </c>
      <c r="R46" s="33">
        <f t="shared" si="28"/>
        <v>275.10000000000002</v>
      </c>
      <c r="S46" s="33">
        <f t="shared" si="28"/>
        <v>272.60000000000002</v>
      </c>
      <c r="T46" s="33">
        <f t="shared" si="28"/>
        <v>283.70000000000005</v>
      </c>
      <c r="U46" s="33">
        <f t="shared" si="28"/>
        <v>298.60000000000002</v>
      </c>
    </row>
    <row r="47" spans="1:24">
      <c r="A47" s="14" t="s">
        <v>76</v>
      </c>
      <c r="B47" s="33">
        <f t="shared" ref="B47:C47" si="29">+B27</f>
        <v>113.9</v>
      </c>
      <c r="C47" s="33">
        <f t="shared" si="29"/>
        <v>116.10000000000001</v>
      </c>
      <c r="D47" s="33">
        <f t="shared" ref="D47:E47" si="30">+D27</f>
        <v>116.49999999999999</v>
      </c>
      <c r="E47" s="33">
        <f t="shared" si="30"/>
        <v>117.5</v>
      </c>
      <c r="F47" s="33">
        <f t="shared" ref="F47:O47" si="31">+F27</f>
        <v>118.6</v>
      </c>
      <c r="G47" s="33">
        <f t="shared" si="31"/>
        <v>119.8</v>
      </c>
      <c r="H47" s="33">
        <f t="shared" si="31"/>
        <v>125.8</v>
      </c>
      <c r="I47" s="33">
        <f t="shared" si="31"/>
        <v>126.3</v>
      </c>
      <c r="J47" s="33">
        <f>+J27</f>
        <v>127.6</v>
      </c>
      <c r="K47" s="33">
        <f t="shared" si="31"/>
        <v>98.9</v>
      </c>
      <c r="L47" s="33">
        <f t="shared" si="31"/>
        <v>96.5</v>
      </c>
      <c r="M47" s="33">
        <f t="shared" si="31"/>
        <v>93</v>
      </c>
      <c r="N47" s="33">
        <f t="shared" si="31"/>
        <v>87.6</v>
      </c>
      <c r="O47" s="33">
        <f t="shared" si="31"/>
        <v>81.800000000000011</v>
      </c>
      <c r="P47" s="33">
        <f t="shared" ref="P47:U47" si="32">+P27</f>
        <v>73.900000000000006</v>
      </c>
      <c r="Q47" s="33">
        <f t="shared" si="32"/>
        <v>70.599999999999994</v>
      </c>
      <c r="R47" s="33">
        <f t="shared" si="32"/>
        <v>66.400000000000006</v>
      </c>
      <c r="S47" s="33">
        <f t="shared" si="32"/>
        <v>67.599999999999994</v>
      </c>
      <c r="T47" s="33">
        <f t="shared" si="32"/>
        <v>72</v>
      </c>
      <c r="U47" s="33">
        <f t="shared" si="32"/>
        <v>80.600000000000009</v>
      </c>
    </row>
    <row r="48" spans="1:24">
      <c r="A48" s="14" t="s">
        <v>77</v>
      </c>
      <c r="B48" s="33">
        <f t="shared" ref="B48:U48" si="33">+SUM(B37:E37)</f>
        <v>40.1</v>
      </c>
      <c r="C48" s="33">
        <f t="shared" si="33"/>
        <v>28.000000000000007</v>
      </c>
      <c r="D48" s="33">
        <f t="shared" si="33"/>
        <v>30.300000000000004</v>
      </c>
      <c r="E48" s="33">
        <f t="shared" si="33"/>
        <v>31.700000000000003</v>
      </c>
      <c r="F48" s="33">
        <f t="shared" si="33"/>
        <v>13.899999999999999</v>
      </c>
      <c r="G48" s="33">
        <f t="shared" si="33"/>
        <v>22.099999999999998</v>
      </c>
      <c r="H48" s="33">
        <f t="shared" si="33"/>
        <v>17.399999999999999</v>
      </c>
      <c r="I48" s="33">
        <f t="shared" si="33"/>
        <v>5.6</v>
      </c>
      <c r="J48" s="33">
        <f t="shared" si="33"/>
        <v>13.6</v>
      </c>
      <c r="K48" s="33">
        <f t="shared" si="33"/>
        <v>15.4</v>
      </c>
      <c r="L48" s="33">
        <f t="shared" si="33"/>
        <v>7.9999999999999956</v>
      </c>
      <c r="M48" s="33">
        <f t="shared" si="33"/>
        <v>7.8999999999999977</v>
      </c>
      <c r="N48" s="33">
        <f t="shared" si="33"/>
        <v>2.5999999999999979</v>
      </c>
      <c r="O48" s="33">
        <f t="shared" si="33"/>
        <v>-9.8000000000000025</v>
      </c>
      <c r="P48" s="33">
        <f t="shared" si="33"/>
        <v>5.8999999999999995</v>
      </c>
      <c r="Q48" s="33">
        <f t="shared" si="33"/>
        <v>3.8999999999999995</v>
      </c>
      <c r="R48" s="33">
        <f t="shared" si="33"/>
        <v>5.0999999999999988</v>
      </c>
      <c r="S48" s="33">
        <f t="shared" si="33"/>
        <v>1.6999999999999975</v>
      </c>
      <c r="T48" s="33">
        <f t="shared" si="33"/>
        <v>-4.8000000000000043</v>
      </c>
      <c r="U48" s="33">
        <f t="shared" si="33"/>
        <v>8.9999999999999964</v>
      </c>
    </row>
    <row r="50" spans="1:24" s="37" customFormat="1">
      <c r="A50" s="37" t="s">
        <v>78</v>
      </c>
      <c r="B50" s="37">
        <f t="shared" ref="B50:C50" si="34">+SUM(B39:B40)/B47</f>
        <v>4.0974539069359084</v>
      </c>
      <c r="C50" s="37">
        <f t="shared" si="34"/>
        <v>4.1490094745908692</v>
      </c>
      <c r="D50" s="37">
        <f t="shared" ref="D50:E50" si="35">+SUM(D39:D40)/D47</f>
        <v>4.1553648068669533</v>
      </c>
      <c r="E50" s="37">
        <f t="shared" si="35"/>
        <v>4.1421276595744683</v>
      </c>
      <c r="F50" s="37">
        <f t="shared" ref="F50:G50" si="36">+SUM(F39:F40)/F47</f>
        <v>4.1222596964586851</v>
      </c>
      <c r="G50" s="37">
        <f t="shared" si="36"/>
        <v>4.0826377295492486</v>
      </c>
      <c r="H50" s="37">
        <f t="shared" ref="H50:I50" si="37">+SUM(H39:H40)/H47</f>
        <v>3.9093799682034978</v>
      </c>
      <c r="I50" s="37">
        <f t="shared" si="37"/>
        <v>3.9152810768012669</v>
      </c>
      <c r="J50" s="37">
        <f t="shared" ref="J50:K50" si="38">+SUM(J39:J40)/J47</f>
        <v>4.2398119122257052</v>
      </c>
      <c r="K50" s="37">
        <f t="shared" si="38"/>
        <v>5.6066734074823055</v>
      </c>
      <c r="L50" s="37">
        <f t="shared" ref="L50:M50" si="39">+SUM(L39:L40)/L47</f>
        <v>5.7761658031088077</v>
      </c>
      <c r="M50" s="37">
        <f t="shared" si="39"/>
        <v>6.0247311827956986</v>
      </c>
      <c r="N50" s="37">
        <f t="shared" ref="N50:U50" si="40">+SUM(N39:N40)/N47</f>
        <v>6.429223744292238</v>
      </c>
      <c r="O50" s="37">
        <f t="shared" si="40"/>
        <v>6.9193154034229822</v>
      </c>
      <c r="P50" s="37">
        <f t="shared" si="40"/>
        <v>7.6982408660351815</v>
      </c>
      <c r="Q50" s="37">
        <f t="shared" si="40"/>
        <v>8.0382436260623233</v>
      </c>
      <c r="R50" s="37">
        <f t="shared" si="40"/>
        <v>8.5466867469879517</v>
      </c>
      <c r="S50" s="37">
        <f t="shared" si="40"/>
        <v>8.4038461538461551</v>
      </c>
      <c r="T50" s="37">
        <f t="shared" si="40"/>
        <v>7.8805555555555555</v>
      </c>
      <c r="U50" s="37">
        <f t="shared" si="40"/>
        <v>7.0372208436724568</v>
      </c>
    </row>
    <row r="51" spans="1:24" s="37" customFormat="1">
      <c r="A51" s="37" t="s">
        <v>79</v>
      </c>
      <c r="B51" s="37">
        <f t="shared" ref="B51:C51" si="41">+B41/B47</f>
        <v>5.4143985952589997</v>
      </c>
      <c r="C51" s="37">
        <f t="shared" si="41"/>
        <v>5.4409991386735577</v>
      </c>
      <c r="D51" s="37">
        <f t="shared" ref="D51:E51" si="42">+D41/D47</f>
        <v>5.4429184549356231</v>
      </c>
      <c r="E51" s="37">
        <f t="shared" si="42"/>
        <v>5.4187234042553198</v>
      </c>
      <c r="F51" s="37">
        <f t="shared" ref="F51:G51" si="43">+F41/F47</f>
        <v>5.3870151770657673</v>
      </c>
      <c r="G51" s="37">
        <f t="shared" si="43"/>
        <v>5.3347245409015027</v>
      </c>
      <c r="H51" s="37">
        <f t="shared" ref="H51:I51" si="44">+H41/H47</f>
        <v>5.1017488076311599</v>
      </c>
      <c r="I51" s="37">
        <f t="shared" si="44"/>
        <v>5.1029295328582744</v>
      </c>
      <c r="J51" s="37">
        <f t="shared" ref="J51:K51" si="45">+J41/J47</f>
        <v>5.0626959247648902</v>
      </c>
      <c r="K51" s="37">
        <f t="shared" si="45"/>
        <v>6.5166835187057632</v>
      </c>
      <c r="L51" s="37">
        <f t="shared" ref="L51:U51" si="46">+L41/L47</f>
        <v>6.7088082901554404</v>
      </c>
      <c r="M51" s="37">
        <f t="shared" si="46"/>
        <v>6.9924731182795696</v>
      </c>
      <c r="N51" s="37">
        <f t="shared" si="46"/>
        <v>7.4566210045662107</v>
      </c>
      <c r="O51" s="37">
        <f t="shared" si="46"/>
        <v>8.0195599022004878</v>
      </c>
      <c r="P51" s="37">
        <f t="shared" si="46"/>
        <v>8.916102841677942</v>
      </c>
      <c r="Q51" s="37">
        <f t="shared" si="46"/>
        <v>9.3130311614730878</v>
      </c>
      <c r="R51" s="37">
        <f t="shared" si="46"/>
        <v>9.9021084337349397</v>
      </c>
      <c r="S51" s="37">
        <f t="shared" si="46"/>
        <v>9.7352071005917171</v>
      </c>
      <c r="T51" s="37">
        <f t="shared" si="46"/>
        <v>9.1305555555555546</v>
      </c>
      <c r="U51" s="37">
        <f t="shared" si="46"/>
        <v>8.1538461538461533</v>
      </c>
    </row>
    <row r="52" spans="1:24" s="37" customFormat="1">
      <c r="A52" s="37" t="s">
        <v>80</v>
      </c>
      <c r="B52" s="37">
        <f t="shared" ref="B52:C52" si="47">+(B41-B44)/B47</f>
        <v>4.6005267778753289</v>
      </c>
      <c r="C52" s="37">
        <f t="shared" si="47"/>
        <v>4.6106804478897505</v>
      </c>
      <c r="D52" s="37">
        <f t="shared" ref="D52:E52" si="48">+(D41-D44)/D47</f>
        <v>4.6772532188841209</v>
      </c>
      <c r="E52" s="37">
        <f t="shared" si="48"/>
        <v>4.7395744680851069</v>
      </c>
      <c r="F52" s="37">
        <f t="shared" ref="F52:G52" si="49">+(F41-F44)/F47</f>
        <v>4.8482293423271505</v>
      </c>
      <c r="G52" s="37">
        <f t="shared" si="49"/>
        <v>4.6661101836393994</v>
      </c>
      <c r="H52" s="37">
        <f t="shared" ref="H52:I52" si="50">+(H41-H44)/H47</f>
        <v>4.4944356120826709</v>
      </c>
      <c r="I52" s="37">
        <f t="shared" si="50"/>
        <v>4.5407759303246245</v>
      </c>
      <c r="J52" s="37">
        <f t="shared" ref="J52:K52" si="51">+(J41-J44)/J47</f>
        <v>4.5532915360501569</v>
      </c>
      <c r="K52" s="37">
        <f t="shared" si="51"/>
        <v>5.8270980788675422</v>
      </c>
      <c r="L52" s="37">
        <f t="shared" ref="L52:U52" si="52">+(L41-L44)/L47</f>
        <v>6.0248704663212429</v>
      </c>
      <c r="M52" s="37">
        <f t="shared" si="52"/>
        <v>6.2569892473118278</v>
      </c>
      <c r="N52" s="37">
        <f t="shared" si="52"/>
        <v>6.7111872146118738</v>
      </c>
      <c r="O52" s="37">
        <f t="shared" si="52"/>
        <v>7.2457212713936423</v>
      </c>
      <c r="P52" s="37">
        <f t="shared" si="52"/>
        <v>7.968876860622462</v>
      </c>
      <c r="Q52" s="37">
        <f t="shared" si="52"/>
        <v>8.3441926345609083</v>
      </c>
      <c r="R52" s="37">
        <f t="shared" si="52"/>
        <v>9.0692771084337345</v>
      </c>
      <c r="S52" s="37">
        <f t="shared" si="52"/>
        <v>8.7825443786982262</v>
      </c>
      <c r="T52" s="37">
        <f t="shared" si="52"/>
        <v>8.4097222222222214</v>
      </c>
      <c r="U52" s="37">
        <f t="shared" si="52"/>
        <v>7.4925558312655092</v>
      </c>
    </row>
    <row r="53" spans="1:24" s="38" customFormat="1">
      <c r="A53" s="38" t="s">
        <v>81</v>
      </c>
      <c r="B53" s="38">
        <f t="shared" ref="B53:C53" si="53">+B48/B41</f>
        <v>6.5023512242581474E-2</v>
      </c>
      <c r="C53" s="38">
        <f t="shared" si="53"/>
        <v>4.4324837739433284E-2</v>
      </c>
      <c r="D53" s="38">
        <f t="shared" ref="D53:E53" si="54">+D48/D41</f>
        <v>4.778426115754613E-2</v>
      </c>
      <c r="E53" s="38">
        <f t="shared" si="54"/>
        <v>4.9787969216271398E-2</v>
      </c>
      <c r="F53" s="38">
        <f t="shared" ref="F53:G53" si="55">+F48/F41</f>
        <v>2.1756143371419626E-2</v>
      </c>
      <c r="G53" s="38">
        <f t="shared" si="55"/>
        <v>3.4579877953371925E-2</v>
      </c>
      <c r="H53" s="38">
        <f t="shared" ref="H53:I53" si="56">+H48/H41</f>
        <v>2.711124961047055E-2</v>
      </c>
      <c r="I53" s="38">
        <f t="shared" si="56"/>
        <v>8.6889061287820004E-3</v>
      </c>
      <c r="J53" s="38">
        <f t="shared" ref="J53:O53" si="57">+J48/J41</f>
        <v>2.1052631578947368E-2</v>
      </c>
      <c r="K53" s="38">
        <f t="shared" si="57"/>
        <v>2.3894491854150504E-2</v>
      </c>
      <c r="L53" s="38">
        <f t="shared" si="57"/>
        <v>1.2357120790855724E-2</v>
      </c>
      <c r="M53" s="38">
        <f t="shared" si="57"/>
        <v>1.2148239274181145E-2</v>
      </c>
      <c r="N53" s="38">
        <f t="shared" si="57"/>
        <v>3.9804041641151224E-3</v>
      </c>
      <c r="O53" s="38">
        <f t="shared" si="57"/>
        <v>-1.4939024390243907E-2</v>
      </c>
      <c r="P53" s="38">
        <f t="shared" ref="P53:U53" si="58">+P48/P41</f>
        <v>8.9543178023979361E-3</v>
      </c>
      <c r="Q53" s="38">
        <f t="shared" si="58"/>
        <v>5.9315589353612155E-3</v>
      </c>
      <c r="R53" s="38">
        <f t="shared" si="58"/>
        <v>7.7566539923954354E-3</v>
      </c>
      <c r="S53" s="38">
        <f t="shared" si="58"/>
        <v>2.583194043458437E-3</v>
      </c>
      <c r="T53" s="38">
        <f t="shared" si="58"/>
        <v>-7.3014907210222158E-3</v>
      </c>
      <c r="U53" s="38">
        <f t="shared" si="58"/>
        <v>1.3694461351186847E-2</v>
      </c>
    </row>
    <row r="54" spans="1:24" s="38" customFormat="1">
      <c r="A54" s="39" t="s">
        <v>82</v>
      </c>
      <c r="B54" s="40"/>
      <c r="C54" s="40"/>
      <c r="D54" s="40"/>
      <c r="E54" s="40"/>
      <c r="F54" s="40"/>
      <c r="G54" s="40"/>
      <c r="H54" s="40"/>
      <c r="I54" s="40"/>
      <c r="J54" s="40"/>
      <c r="K54" s="40"/>
      <c r="L54" s="40">
        <v>8</v>
      </c>
      <c r="M54" s="40">
        <v>8</v>
      </c>
      <c r="N54" s="40">
        <v>8</v>
      </c>
      <c r="O54" s="40">
        <v>8</v>
      </c>
      <c r="P54" s="40">
        <v>8</v>
      </c>
      <c r="Q54" s="40">
        <v>8</v>
      </c>
      <c r="R54" s="40">
        <v>8</v>
      </c>
      <c r="S54" s="40">
        <v>8</v>
      </c>
      <c r="T54" s="40">
        <v>8</v>
      </c>
      <c r="U54" s="40">
        <v>8</v>
      </c>
      <c r="V54" s="39"/>
      <c r="W54" s="39"/>
      <c r="X54" s="39"/>
    </row>
    <row r="55" spans="1:24" s="38" customFormat="1">
      <c r="A55" s="38" t="s">
        <v>83</v>
      </c>
      <c r="B55" s="41">
        <f t="shared" ref="B55:C55" si="59">IF(B42=0,IF(B54="","","*"&amp;TEXT(B54,"0.0x")),(B41+B42-B44)/B47)</f>
        <v>9.5610184372256359</v>
      </c>
      <c r="C55" s="41">
        <f t="shared" si="59"/>
        <v>9.4771748492678718</v>
      </c>
      <c r="D55" s="41">
        <f t="shared" ref="D55:E55" si="60">IF(D42=0,IF(D54="","","*"&amp;TEXT(D54,"0.0x")),(D41+D42-D44)/D47)</f>
        <v>9.5270386266094427</v>
      </c>
      <c r="E55" s="41">
        <f t="shared" si="60"/>
        <v>9.5480851063829792</v>
      </c>
      <c r="F55" s="41">
        <f t="shared" ref="F55:G55" si="61">IF(F42=0,IF(F54="","","*"&amp;TEXT(F54,"0.0x")),(F41+F42-F44)/F47)</f>
        <v>9.612141652613829</v>
      </c>
      <c r="G55" s="41">
        <f t="shared" si="61"/>
        <v>9.382303839732888</v>
      </c>
      <c r="H55" s="41">
        <f t="shared" ref="H55:I55" si="62">IF(H42=0,IF(H54="","","*"&amp;TEXT(H54,"0.0x")),(H41+H42-H44)/H47)</f>
        <v>8.9856915739268679</v>
      </c>
      <c r="I55" s="41">
        <f t="shared" si="62"/>
        <v>9.0142517814726837</v>
      </c>
      <c r="J55" s="41">
        <f t="shared" ref="J55:O55" si="63">IF(J42=0,IF(J54="","","*"&amp;TEXT(J54,"0.0x")),(J41+J42-J44)/J47)</f>
        <v>8.9811912225705335</v>
      </c>
      <c r="K55" s="41">
        <f t="shared" si="63"/>
        <v>10.185035389282103</v>
      </c>
      <c r="L55" s="41" t="str">
        <f t="shared" si="63"/>
        <v>*8.0x</v>
      </c>
      <c r="M55" s="41" t="str">
        <f t="shared" si="63"/>
        <v>*8.0x</v>
      </c>
      <c r="N55" s="41" t="str">
        <f t="shared" si="63"/>
        <v>*8.0x</v>
      </c>
      <c r="O55" s="41" t="str">
        <f t="shared" si="63"/>
        <v>*8.0x</v>
      </c>
      <c r="P55" s="41" t="str">
        <f t="shared" ref="P55:U55" si="64">IF(P42=0,IF(P54="","","*"&amp;TEXT(P54,"0.0x")),(P41+P42-P44)/P47)</f>
        <v>*8.0x</v>
      </c>
      <c r="Q55" s="41" t="str">
        <f t="shared" si="64"/>
        <v>*8.0x</v>
      </c>
      <c r="R55" s="41" t="str">
        <f t="shared" si="64"/>
        <v>*8.0x</v>
      </c>
      <c r="S55" s="41" t="str">
        <f t="shared" si="64"/>
        <v>*8.0x</v>
      </c>
      <c r="T55" s="41" t="str">
        <f t="shared" si="64"/>
        <v>*8.0x</v>
      </c>
      <c r="U55" s="41" t="str">
        <f t="shared" si="64"/>
        <v>*8.0x</v>
      </c>
      <c r="V55" s="41" t="str">
        <f>IF(V42=0,IF(V54="","",CONCATENATE("* ",V54,"x")),(V41+V42-V44)/V47)</f>
        <v/>
      </c>
      <c r="W55" s="41" t="str">
        <f>IF(W42=0,IF(W54="","",CONCATENATE("* ",W54,"x")),(W41+W42-W44)/W47)</f>
        <v/>
      </c>
      <c r="X55" s="41" t="str">
        <f>IF(X42=0,IF(X54="","",CONCATENATE("* ",X54,"x")),(X41+X42-X44)/X47)</f>
        <v/>
      </c>
    </row>
    <row r="56" spans="1:24">
      <c r="U56" s="42"/>
    </row>
    <row r="57" spans="1:24" ht="80.25" customHeight="1">
      <c r="A57" s="43" t="s">
        <v>84</v>
      </c>
      <c r="B57" s="44" t="s">
        <v>289</v>
      </c>
      <c r="C57" s="44" t="s">
        <v>289</v>
      </c>
      <c r="D57" s="44" t="s">
        <v>289</v>
      </c>
      <c r="E57" s="44" t="s">
        <v>289</v>
      </c>
      <c r="F57" s="44" t="s">
        <v>289</v>
      </c>
      <c r="G57" s="44" t="s">
        <v>557</v>
      </c>
      <c r="H57" s="44" t="s">
        <v>556</v>
      </c>
      <c r="I57" s="44" t="s">
        <v>501</v>
      </c>
      <c r="J57" s="44" t="s">
        <v>445</v>
      </c>
      <c r="K57" s="44" t="s">
        <v>90</v>
      </c>
      <c r="L57" s="44" t="s">
        <v>90</v>
      </c>
      <c r="M57" s="44" t="s">
        <v>90</v>
      </c>
      <c r="N57" s="44" t="s">
        <v>90</v>
      </c>
      <c r="O57" s="44" t="s">
        <v>90</v>
      </c>
      <c r="P57" s="44" t="s">
        <v>90</v>
      </c>
      <c r="Q57" s="44" t="s">
        <v>90</v>
      </c>
      <c r="R57" s="44"/>
      <c r="S57" s="44"/>
      <c r="T57" s="44"/>
      <c r="U57" s="44"/>
      <c r="V57" s="44"/>
      <c r="W57" s="44"/>
      <c r="X57" s="44"/>
    </row>
    <row r="58" spans="1:24">
      <c r="A58" s="45"/>
      <c r="B58" s="42"/>
      <c r="C58" s="42"/>
      <c r="D58" s="42"/>
      <c r="E58" s="42"/>
      <c r="F58" s="42"/>
      <c r="G58" s="42"/>
      <c r="H58" s="42"/>
      <c r="I58" s="42"/>
      <c r="J58" s="42"/>
      <c r="K58" s="42"/>
      <c r="L58" s="42"/>
      <c r="M58" s="42"/>
      <c r="N58" s="42"/>
      <c r="O58" s="42"/>
      <c r="P58" s="42"/>
      <c r="Q58" s="42"/>
    </row>
    <row r="59" spans="1:24">
      <c r="A59" s="45"/>
    </row>
  </sheetData>
  <pageMargins left="0.7" right="0.7" top="0.75" bottom="0.75" header="0.3" footer="0.3"/>
  <pageSetup orientation="portrait" r:id="rId1"/>
  <ignoredErrors>
    <ignoredError sqref="S46:U46 K46:R46 J48:R52 I47 K47:R47" formulaRange="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AE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1" width="10.6640625" style="14" customWidth="1"/>
    <col min="12" max="25" width="10.6640625" style="14" hidden="1" customWidth="1"/>
    <col min="26" max="16384" width="9.109375" style="14"/>
  </cols>
  <sheetData>
    <row r="2" spans="1:31">
      <c r="A2" s="13" t="s">
        <v>44</v>
      </c>
      <c r="B2" s="14" t="s">
        <v>406</v>
      </c>
    </row>
    <row r="3" spans="1:31" s="16" customFormat="1">
      <c r="A3" s="15" t="s">
        <v>45</v>
      </c>
      <c r="B3" s="16" t="s">
        <v>143</v>
      </c>
    </row>
    <row r="4" spans="1:31">
      <c r="A4" s="13" t="s">
        <v>2</v>
      </c>
      <c r="B4" s="14" t="s">
        <v>4</v>
      </c>
    </row>
    <row r="5" spans="1:31">
      <c r="A5" s="13" t="s">
        <v>46</v>
      </c>
    </row>
    <row r="6" spans="1:31">
      <c r="A6" s="13" t="s">
        <v>47</v>
      </c>
      <c r="B6" s="14">
        <v>3</v>
      </c>
    </row>
    <row r="7" spans="1:31">
      <c r="A7" s="13" t="s">
        <v>48</v>
      </c>
      <c r="B7" s="14" t="s">
        <v>240</v>
      </c>
    </row>
    <row r="8" spans="1:31">
      <c r="A8" s="13" t="s">
        <v>347</v>
      </c>
      <c r="B8" s="14" t="s">
        <v>391</v>
      </c>
    </row>
    <row r="9" spans="1:31">
      <c r="A9" s="17"/>
    </row>
    <row r="10" spans="1:31">
      <c r="A10" s="17" t="s">
        <v>49</v>
      </c>
      <c r="B10" s="18">
        <v>44377</v>
      </c>
      <c r="C10" s="18">
        <v>44286</v>
      </c>
      <c r="D10" s="18">
        <v>44196</v>
      </c>
      <c r="E10" s="18">
        <v>44104</v>
      </c>
      <c r="F10" s="18">
        <v>44012</v>
      </c>
      <c r="G10" s="18">
        <v>43921</v>
      </c>
      <c r="H10" s="18">
        <v>43830</v>
      </c>
      <c r="I10" s="18">
        <v>43738</v>
      </c>
      <c r="J10" s="18">
        <v>43646</v>
      </c>
      <c r="K10" s="18">
        <v>43555</v>
      </c>
      <c r="L10" s="18">
        <v>43465</v>
      </c>
      <c r="M10" s="18">
        <v>43373</v>
      </c>
      <c r="N10" s="18">
        <v>43281</v>
      </c>
      <c r="O10" s="18">
        <v>43190</v>
      </c>
      <c r="P10" s="18">
        <v>43100</v>
      </c>
      <c r="Q10" s="18">
        <v>43008</v>
      </c>
      <c r="R10" s="18">
        <v>42916</v>
      </c>
      <c r="S10" s="18">
        <v>42825</v>
      </c>
      <c r="T10" s="18">
        <v>42735</v>
      </c>
      <c r="U10" s="18">
        <v>42643</v>
      </c>
      <c r="V10" s="18">
        <v>42551</v>
      </c>
      <c r="W10" s="18">
        <v>42460</v>
      </c>
      <c r="X10" s="18">
        <v>42369</v>
      </c>
      <c r="Y10" s="18">
        <v>42277</v>
      </c>
    </row>
    <row r="12" spans="1:31">
      <c r="A12" s="19" t="s">
        <v>50</v>
      </c>
      <c r="B12" s="20">
        <v>427.8</v>
      </c>
      <c r="C12" s="20">
        <v>381.2</v>
      </c>
      <c r="D12" s="20">
        <v>370.2</v>
      </c>
      <c r="E12" s="20">
        <v>369.07</v>
      </c>
      <c r="F12" s="20">
        <v>289.10000000000002</v>
      </c>
      <c r="G12" s="20">
        <v>296.3</v>
      </c>
      <c r="H12" s="20">
        <f>1080.948-I12-J12-K12</f>
        <v>306.79700000000003</v>
      </c>
      <c r="I12" s="20">
        <v>275.32400000000001</v>
      </c>
      <c r="J12" s="20">
        <v>261</v>
      </c>
      <c r="K12" s="20">
        <v>237.827</v>
      </c>
      <c r="L12" s="20">
        <f>810.388-M12-N12-O12</f>
        <v>222.09399999999999</v>
      </c>
      <c r="M12" s="20">
        <v>217.12</v>
      </c>
      <c r="N12" s="20">
        <v>200.874</v>
      </c>
      <c r="O12" s="20">
        <v>170.3</v>
      </c>
      <c r="P12" s="20">
        <v>161.28599999999994</v>
      </c>
      <c r="Q12" s="20">
        <v>134.53100000000001</v>
      </c>
      <c r="R12" s="20">
        <v>124.167</v>
      </c>
      <c r="S12" s="20">
        <v>117.15900000000001</v>
      </c>
      <c r="T12" s="20">
        <f>419.613-W12-V12-U12</f>
        <v>88.338000000000008</v>
      </c>
      <c r="U12" s="20">
        <v>118.467</v>
      </c>
      <c r="V12" s="20">
        <v>111.81699999999999</v>
      </c>
      <c r="W12" s="20">
        <v>100.991</v>
      </c>
      <c r="X12" s="20">
        <f>411.328-307.115</f>
        <v>104.21299999999997</v>
      </c>
      <c r="Y12" s="20">
        <v>104.15</v>
      </c>
      <c r="AA12" s="17"/>
    </row>
    <row r="13" spans="1:31" s="21" customFormat="1">
      <c r="A13" s="21" t="s">
        <v>51</v>
      </c>
      <c r="B13" s="21">
        <f t="shared" ref="B13:U13" si="0">+B12/F12-1</f>
        <v>0.47976478727084038</v>
      </c>
      <c r="C13" s="21">
        <f t="shared" si="0"/>
        <v>0.28653391832602093</v>
      </c>
      <c r="D13" s="21">
        <f t="shared" si="0"/>
        <v>0.20666108208359257</v>
      </c>
      <c r="E13" s="21">
        <f t="shared" si="0"/>
        <v>0.34049338234225845</v>
      </c>
      <c r="F13" s="21">
        <f t="shared" si="0"/>
        <v>0.1076628352490423</v>
      </c>
      <c r="G13" s="21">
        <f t="shared" si="0"/>
        <v>0.24586358992040447</v>
      </c>
      <c r="H13" s="21">
        <f t="shared" si="0"/>
        <v>0.38138355831314685</v>
      </c>
      <c r="I13" s="21">
        <f t="shared" si="0"/>
        <v>0.26807295504789974</v>
      </c>
      <c r="J13" s="21">
        <f t="shared" si="0"/>
        <v>0.29932196302159575</v>
      </c>
      <c r="K13" s="21">
        <f t="shared" si="0"/>
        <v>0.39651790957134447</v>
      </c>
      <c r="L13" s="21">
        <f t="shared" si="0"/>
        <v>0.37701970412807118</v>
      </c>
      <c r="M13" s="21">
        <f t="shared" si="0"/>
        <v>0.61390311526711305</v>
      </c>
      <c r="N13" s="21">
        <f t="shared" si="0"/>
        <v>0.61777283819372286</v>
      </c>
      <c r="O13" s="21">
        <f t="shared" si="0"/>
        <v>0.45358017736580214</v>
      </c>
      <c r="P13" s="21">
        <f t="shared" si="0"/>
        <v>0.82578278883379674</v>
      </c>
      <c r="Q13" s="21">
        <f t="shared" si="0"/>
        <v>0.13559894316560728</v>
      </c>
      <c r="R13" s="21">
        <f t="shared" si="0"/>
        <v>0.11044832181153152</v>
      </c>
      <c r="S13" s="21">
        <f t="shared" si="0"/>
        <v>0.16009347367587212</v>
      </c>
      <c r="T13" s="21">
        <f t="shared" si="0"/>
        <v>-0.15233224261848299</v>
      </c>
      <c r="U13" s="21">
        <f t="shared" si="0"/>
        <v>0.13746519443110894</v>
      </c>
      <c r="AE13" s="105"/>
    </row>
    <row r="14" spans="1:31" s="24" customFormat="1">
      <c r="A14" s="22" t="s">
        <v>52</v>
      </c>
      <c r="B14" s="66">
        <v>0.3</v>
      </c>
      <c r="C14" s="66">
        <v>5.1999999999999998E-2</v>
      </c>
      <c r="D14" s="66">
        <v>0</v>
      </c>
      <c r="E14" s="66">
        <v>0.01</v>
      </c>
      <c r="F14" s="66">
        <f>-44.3/J12</f>
        <v>-0.16973180076628352</v>
      </c>
      <c r="G14" s="66">
        <v>0.05</v>
      </c>
      <c r="H14" s="66" t="s">
        <v>3</v>
      </c>
      <c r="I14" s="66">
        <v>0.129</v>
      </c>
      <c r="J14" s="66">
        <v>7.0000000000000007E-2</v>
      </c>
      <c r="K14" s="66">
        <v>8.5999999999999993E-2</v>
      </c>
      <c r="L14" s="66">
        <v>4.4999999999999998E-2</v>
      </c>
      <c r="M14" s="23" t="s">
        <v>3</v>
      </c>
      <c r="N14" s="23" t="s">
        <v>3</v>
      </c>
      <c r="O14" s="23" t="s">
        <v>3</v>
      </c>
      <c r="P14" s="23" t="s">
        <v>3</v>
      </c>
      <c r="Q14" s="23" t="s">
        <v>3</v>
      </c>
      <c r="R14" s="23" t="s">
        <v>3</v>
      </c>
      <c r="S14" s="23" t="s">
        <v>3</v>
      </c>
      <c r="T14" s="23" t="s">
        <v>3</v>
      </c>
      <c r="U14" s="23" t="s">
        <v>3</v>
      </c>
      <c r="V14" s="22"/>
      <c r="W14" s="22"/>
      <c r="X14" s="22"/>
      <c r="Y14" s="22"/>
      <c r="AA14" s="21"/>
      <c r="AE14" s="105"/>
    </row>
    <row r="15" spans="1:31">
      <c r="Q15" s="48"/>
      <c r="AE15" s="105"/>
    </row>
    <row r="16" spans="1:31" s="17" customFormat="1">
      <c r="A16" s="25" t="s">
        <v>53</v>
      </c>
      <c r="B16" s="26">
        <v>86.3</v>
      </c>
      <c r="C16" s="26">
        <v>69.5</v>
      </c>
      <c r="D16" s="26">
        <v>65</v>
      </c>
      <c r="E16" s="26">
        <v>71.781000000000006</v>
      </c>
      <c r="F16" s="26">
        <v>52.3</v>
      </c>
      <c r="G16" s="26">
        <v>42.6</v>
      </c>
      <c r="H16" s="26">
        <v>52.4</v>
      </c>
      <c r="I16" s="26">
        <v>49.924999999999997</v>
      </c>
      <c r="J16" s="26">
        <v>43.3</v>
      </c>
      <c r="K16" s="26">
        <v>36.5</v>
      </c>
      <c r="L16" s="26">
        <v>43.5</v>
      </c>
      <c r="M16" s="26">
        <v>40.531999999999996</v>
      </c>
      <c r="N16" s="26">
        <v>37.4</v>
      </c>
      <c r="O16" s="26">
        <v>26.082999999999998</v>
      </c>
      <c r="P16" s="26">
        <v>33.799999999999997</v>
      </c>
      <c r="Q16" s="26">
        <v>29.027018000000009</v>
      </c>
      <c r="R16" s="26">
        <f>16.968+1.219+6.124+6.829-S16</f>
        <v>14.064</v>
      </c>
      <c r="S16" s="26">
        <f>13.745+2.482+0.849</f>
        <v>17.076000000000001</v>
      </c>
      <c r="T16" s="26">
        <f>23.336+19.081+4.582+3.297+9.64-W16-V16-U16</f>
        <v>2.0399999999999991</v>
      </c>
      <c r="U16" s="26">
        <f>32.289+15.081+2.57+7.656+0.3-W16-V16</f>
        <v>24.361000000000004</v>
      </c>
      <c r="V16" s="26">
        <f>16.477+10.054+1.743+5.048+0.213-W16</f>
        <v>17.413999999999994</v>
      </c>
      <c r="W16" s="26">
        <f>7.607+2.51+0.865+0.112+5.027</f>
        <v>16.121000000000002</v>
      </c>
      <c r="X16" s="26">
        <f>20.286+20.108+0.598+3.503+10.423-(14.934+15.081+2.637+7.975+0.5)</f>
        <v>13.791000000000004</v>
      </c>
      <c r="Y16" s="26">
        <f>14.934+15.081+2.637+7.975+0.5-(7.212+10.054+1.76+5.438+0.354)</f>
        <v>16.309000000000005</v>
      </c>
      <c r="AE16" s="106"/>
    </row>
    <row r="17" spans="1:31" s="21" customFormat="1">
      <c r="A17" s="21" t="s">
        <v>54</v>
      </c>
      <c r="B17" s="21">
        <f t="shared" ref="B17:C17" si="1">+B16/B12</f>
        <v>0.20172978027115473</v>
      </c>
      <c r="C17" s="21">
        <f t="shared" si="1"/>
        <v>0.18231899265477441</v>
      </c>
      <c r="D17" s="21">
        <f t="shared" ref="D17:E17" si="2">+D16/D12</f>
        <v>0.17558076715289034</v>
      </c>
      <c r="E17" s="21">
        <f t="shared" si="2"/>
        <v>0.19449155986669198</v>
      </c>
      <c r="F17" s="21">
        <f t="shared" ref="F17:G17" si="3">+F16/F12</f>
        <v>0.1809062608094085</v>
      </c>
      <c r="G17" s="21">
        <f t="shared" si="3"/>
        <v>0.14377320283496456</v>
      </c>
      <c r="H17" s="21">
        <f t="shared" ref="H17:I17" si="4">+H16/H12</f>
        <v>0.17079697650237777</v>
      </c>
      <c r="I17" s="21">
        <f t="shared" si="4"/>
        <v>0.18133181270067264</v>
      </c>
      <c r="J17" s="21">
        <f t="shared" ref="J17:K17" si="5">+J16/J12</f>
        <v>0.16590038314176245</v>
      </c>
      <c r="K17" s="21">
        <f t="shared" si="5"/>
        <v>0.15347290257203766</v>
      </c>
      <c r="L17" s="21">
        <f t="shared" ref="L17:Y17" si="6">+L16/L12</f>
        <v>0.19586301295847705</v>
      </c>
      <c r="M17" s="21">
        <f t="shared" si="6"/>
        <v>0.18668017686072216</v>
      </c>
      <c r="N17" s="21">
        <f t="shared" si="6"/>
        <v>0.18618636558240489</v>
      </c>
      <c r="O17" s="21">
        <f t="shared" si="6"/>
        <v>0.15315913094539046</v>
      </c>
      <c r="P17" s="21">
        <f t="shared" si="6"/>
        <v>0.20956561635851848</v>
      </c>
      <c r="Q17" s="21">
        <f t="shared" si="6"/>
        <v>0.21576453010830224</v>
      </c>
      <c r="R17" s="21">
        <f t="shared" si="6"/>
        <v>0.11326681002198652</v>
      </c>
      <c r="S17" s="21">
        <f t="shared" si="6"/>
        <v>0.14575064655724271</v>
      </c>
      <c r="T17" s="21">
        <f t="shared" si="6"/>
        <v>2.3093119608775373E-2</v>
      </c>
      <c r="U17" s="21">
        <f t="shared" si="6"/>
        <v>0.20563532460516434</v>
      </c>
      <c r="V17" s="21">
        <f t="shared" si="6"/>
        <v>0.15573660534623532</v>
      </c>
      <c r="W17" s="21">
        <f t="shared" si="6"/>
        <v>0.1596280856710004</v>
      </c>
      <c r="X17" s="21">
        <f t="shared" si="6"/>
        <v>0.13233473750875618</v>
      </c>
      <c r="Y17" s="21">
        <f t="shared" si="6"/>
        <v>0.15659145463274127</v>
      </c>
      <c r="Z17" s="105"/>
      <c r="AB17" s="105"/>
      <c r="AE17" s="106"/>
    </row>
    <row r="18" spans="1:31" s="24" customFormat="1">
      <c r="Z18" s="105"/>
      <c r="AA18" s="21"/>
      <c r="AB18" s="105"/>
      <c r="AE18" s="106"/>
    </row>
    <row r="19" spans="1:31"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f>13.198-W19-V19-U19</f>
        <v>13.198</v>
      </c>
      <c r="U19" s="20">
        <v>0</v>
      </c>
      <c r="V19" s="20">
        <v>0</v>
      </c>
      <c r="W19" s="20">
        <v>0</v>
      </c>
      <c r="X19" s="20">
        <v>0</v>
      </c>
      <c r="Y19" s="20">
        <v>0</v>
      </c>
      <c r="Z19" s="88"/>
      <c r="AA19" s="88"/>
      <c r="AB19" s="88"/>
      <c r="AE19" s="106"/>
    </row>
    <row r="20" spans="1:31"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4.2000000000000003E-2</v>
      </c>
      <c r="S20" s="20">
        <v>6.9000000000000006E-2</v>
      </c>
      <c r="T20" s="20">
        <f>1.768-W20-V20-U20</f>
        <v>0.52099999999999991</v>
      </c>
      <c r="U20" s="20">
        <f>1.247-W20-V20</f>
        <v>5.600000000000005E-2</v>
      </c>
      <c r="V20" s="20">
        <f>1.191-W20</f>
        <v>0.95300000000000007</v>
      </c>
      <c r="W20" s="20">
        <v>0.23799999999999999</v>
      </c>
      <c r="X20" s="20">
        <f>4.097-(2.424)</f>
        <v>1.6730000000000005</v>
      </c>
      <c r="Y20" s="20">
        <f>2.424-(2.118)</f>
        <v>0.30600000000000005</v>
      </c>
      <c r="AE20" s="106"/>
    </row>
    <row r="21" spans="1:31"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f t="shared" ref="R21:W21" si="7">R22-R16-R19-R20</f>
        <v>10.593999999999999</v>
      </c>
      <c r="S21" s="20">
        <f t="shared" si="7"/>
        <v>4.7169999999999979</v>
      </c>
      <c r="T21" s="20">
        <f t="shared" si="7"/>
        <v>7.1080000000000014</v>
      </c>
      <c r="U21" s="20">
        <f t="shared" si="7"/>
        <v>1.1559999999999961</v>
      </c>
      <c r="V21" s="20">
        <f t="shared" si="7"/>
        <v>3.2350000000000056</v>
      </c>
      <c r="W21" s="20">
        <f t="shared" si="7"/>
        <v>0.68499999999999828</v>
      </c>
      <c r="X21" s="20">
        <f>4-4</f>
        <v>0</v>
      </c>
      <c r="Y21" s="20">
        <f>4-4</f>
        <v>0</v>
      </c>
      <c r="AE21" s="105"/>
    </row>
    <row r="22" spans="1:31" s="17" customFormat="1">
      <c r="A22" s="17" t="s">
        <v>58</v>
      </c>
      <c r="B22" s="27">
        <f t="shared" ref="B22:C22" si="8">B16+B19+B20+B21</f>
        <v>86.3</v>
      </c>
      <c r="C22" s="27">
        <f t="shared" si="8"/>
        <v>69.5</v>
      </c>
      <c r="D22" s="27">
        <f t="shared" ref="D22:E22" si="9">D16+D19+D20+D21</f>
        <v>65</v>
      </c>
      <c r="E22" s="27">
        <f t="shared" si="9"/>
        <v>71.781000000000006</v>
      </c>
      <c r="F22" s="27">
        <f t="shared" ref="F22:G22" si="10">F16+F19+F20+F21</f>
        <v>52.3</v>
      </c>
      <c r="G22" s="27">
        <f t="shared" si="10"/>
        <v>42.6</v>
      </c>
      <c r="H22" s="27">
        <f t="shared" ref="H22:I22" si="11">H16+H19+H20+H21</f>
        <v>52.4</v>
      </c>
      <c r="I22" s="27">
        <f t="shared" si="11"/>
        <v>49.924999999999997</v>
      </c>
      <c r="J22" s="27">
        <f t="shared" ref="J22:K22" si="12">J16+J19+J20+J21</f>
        <v>43.3</v>
      </c>
      <c r="K22" s="27">
        <f t="shared" si="12"/>
        <v>36.5</v>
      </c>
      <c r="L22" s="27">
        <f t="shared" ref="L22:Q22" si="13">L16+L19+L20+L21</f>
        <v>43.5</v>
      </c>
      <c r="M22" s="27">
        <f t="shared" si="13"/>
        <v>40.531999999999996</v>
      </c>
      <c r="N22" s="27">
        <f t="shared" si="13"/>
        <v>37.4</v>
      </c>
      <c r="O22" s="27">
        <f t="shared" si="13"/>
        <v>26.082999999999998</v>
      </c>
      <c r="P22" s="27">
        <f t="shared" si="13"/>
        <v>33.799999999999997</v>
      </c>
      <c r="Q22" s="27">
        <f t="shared" si="13"/>
        <v>29.027018000000009</v>
      </c>
      <c r="R22" s="27">
        <v>24.7</v>
      </c>
      <c r="S22" s="27">
        <v>21.861999999999998</v>
      </c>
      <c r="T22" s="27">
        <v>22.867000000000001</v>
      </c>
      <c r="U22" s="27">
        <v>25.573</v>
      </c>
      <c r="V22" s="27">
        <v>21.602</v>
      </c>
      <c r="W22" s="27">
        <v>17.044</v>
      </c>
      <c r="X22" s="27">
        <f>SUM(X16,X19:X21)</f>
        <v>15.464000000000004</v>
      </c>
      <c r="Y22" s="27">
        <f>SUM(Y16,Y19:Y21)</f>
        <v>16.615000000000006</v>
      </c>
    </row>
    <row r="23" spans="1:31" s="17" customFormat="1">
      <c r="B23" s="21"/>
      <c r="C23" s="21"/>
      <c r="D23" s="21"/>
      <c r="E23" s="21"/>
      <c r="F23" s="21"/>
      <c r="G23" s="21"/>
      <c r="H23" s="21"/>
      <c r="I23" s="21"/>
      <c r="J23" s="21"/>
      <c r="K23" s="21"/>
      <c r="L23" s="21"/>
      <c r="M23" s="21"/>
      <c r="N23" s="27"/>
      <c r="O23" s="27"/>
      <c r="P23" s="27"/>
      <c r="Q23" s="27"/>
      <c r="R23" s="27"/>
      <c r="S23" s="27"/>
      <c r="T23" s="27"/>
      <c r="U23" s="27"/>
      <c r="V23" s="27"/>
      <c r="W23" s="27"/>
      <c r="X23" s="27"/>
      <c r="Y23" s="27"/>
    </row>
    <row r="24" spans="1:31" s="17" customFormat="1">
      <c r="A24" s="17" t="s">
        <v>59</v>
      </c>
      <c r="B24" s="65">
        <f t="shared" ref="B24:I24" si="14">SUM(B22:E22)</f>
        <v>292.58100000000002</v>
      </c>
      <c r="C24" s="65">
        <f t="shared" si="14"/>
        <v>258.58100000000002</v>
      </c>
      <c r="D24" s="65">
        <f t="shared" si="14"/>
        <v>231.68100000000001</v>
      </c>
      <c r="E24" s="65">
        <f t="shared" si="14"/>
        <v>219.08100000000002</v>
      </c>
      <c r="F24" s="65">
        <f t="shared" si="14"/>
        <v>197.22500000000002</v>
      </c>
      <c r="G24" s="65">
        <f t="shared" si="14"/>
        <v>188.22500000000002</v>
      </c>
      <c r="H24" s="65">
        <f t="shared" si="14"/>
        <v>182.125</v>
      </c>
      <c r="I24" s="65">
        <f t="shared" si="14"/>
        <v>173.22499999999999</v>
      </c>
      <c r="J24" s="46">
        <v>163.5</v>
      </c>
      <c r="K24" s="46">
        <v>157.6</v>
      </c>
      <c r="L24" s="46">
        <v>147.30000000000001</v>
      </c>
      <c r="M24" s="27">
        <f t="shared" ref="M24:V24" si="15">SUM(M22:P22)</f>
        <v>137.815</v>
      </c>
      <c r="N24" s="27">
        <f t="shared" si="15"/>
        <v>126.310018</v>
      </c>
      <c r="O24" s="27">
        <f t="shared" si="15"/>
        <v>113.61001800000001</v>
      </c>
      <c r="P24" s="27">
        <f t="shared" si="15"/>
        <v>109.38901800000001</v>
      </c>
      <c r="Q24" s="27">
        <f t="shared" si="15"/>
        <v>98.456018000000014</v>
      </c>
      <c r="R24" s="27">
        <f t="shared" si="15"/>
        <v>95.00200000000001</v>
      </c>
      <c r="S24" s="27">
        <f t="shared" si="15"/>
        <v>91.903999999999996</v>
      </c>
      <c r="T24" s="27">
        <f t="shared" si="15"/>
        <v>87.085999999999999</v>
      </c>
      <c r="U24" s="27">
        <f t="shared" si="15"/>
        <v>79.682999999999993</v>
      </c>
      <c r="V24" s="27">
        <f t="shared" si="15"/>
        <v>70.725000000000009</v>
      </c>
      <c r="W24" s="27"/>
      <c r="X24" s="27"/>
      <c r="Y24" s="27"/>
    </row>
    <row r="25" spans="1:31" s="24" customFormat="1">
      <c r="A25" s="19" t="s">
        <v>60</v>
      </c>
      <c r="B25" s="28">
        <v>13.4</v>
      </c>
      <c r="C25" s="28">
        <v>15.8</v>
      </c>
      <c r="D25" s="28">
        <v>16.100000000000001</v>
      </c>
      <c r="E25" s="28">
        <f>262.8-E26-E24</f>
        <v>14.918999999999983</v>
      </c>
      <c r="F25" s="28">
        <f>255.8-F26-F24</f>
        <v>16.474999999999994</v>
      </c>
      <c r="G25" s="28">
        <v>17.8</v>
      </c>
      <c r="H25" s="28">
        <f>286.4-H26-H24</f>
        <v>13.974999999999966</v>
      </c>
      <c r="I25" s="28">
        <v>0</v>
      </c>
      <c r="J25" s="28">
        <f>9.2+11.8</f>
        <v>21</v>
      </c>
      <c r="K25" s="28">
        <f>9+13</f>
        <v>22</v>
      </c>
      <c r="L25" s="28">
        <f>10.4+11</f>
        <v>21.4</v>
      </c>
      <c r="M25" s="28">
        <v>0</v>
      </c>
      <c r="N25" s="28">
        <v>0</v>
      </c>
      <c r="O25" s="28">
        <v>0</v>
      </c>
      <c r="P25" s="28">
        <v>0</v>
      </c>
      <c r="Q25" s="28">
        <v>0</v>
      </c>
      <c r="R25" s="28">
        <v>0</v>
      </c>
      <c r="S25" s="28">
        <v>0</v>
      </c>
      <c r="T25" s="28">
        <v>0</v>
      </c>
      <c r="U25" s="28">
        <v>0</v>
      </c>
      <c r="V25" s="28">
        <v>0</v>
      </c>
      <c r="W25" s="28"/>
      <c r="X25" s="28"/>
      <c r="Y25" s="28"/>
    </row>
    <row r="26" spans="1:31" s="24" customFormat="1">
      <c r="A26" s="19" t="s">
        <v>61</v>
      </c>
      <c r="B26" s="29">
        <f>378.8-B25-B24</f>
        <v>72.819000000000017</v>
      </c>
      <c r="C26" s="29">
        <f>309.3-C25-C24</f>
        <v>34.918999999999983</v>
      </c>
      <c r="D26" s="29">
        <f>283.9-D25-D24</f>
        <v>36.118999999999943</v>
      </c>
      <c r="E26" s="29">
        <v>28.8</v>
      </c>
      <c r="F26" s="29">
        <v>42.1</v>
      </c>
      <c r="G26" s="29">
        <f>267.3-G25-G24</f>
        <v>61.274999999999977</v>
      </c>
      <c r="H26" s="29">
        <f>70+20.3</f>
        <v>90.3</v>
      </c>
      <c r="I26" s="29">
        <f>225.4-I25-I24</f>
        <v>52.175000000000011</v>
      </c>
      <c r="J26" s="29">
        <f>225.4-J25-J24</f>
        <v>40.900000000000006</v>
      </c>
      <c r="K26" s="29">
        <f>196.9-K25-K24</f>
        <v>17.300000000000011</v>
      </c>
      <c r="L26" s="29">
        <f>191.4-L25-L24</f>
        <v>22.699999999999989</v>
      </c>
      <c r="M26" s="29">
        <v>0</v>
      </c>
      <c r="N26" s="29">
        <v>0</v>
      </c>
      <c r="O26" s="29">
        <v>0</v>
      </c>
      <c r="P26" s="29">
        <v>0</v>
      </c>
      <c r="Q26" s="29">
        <v>0</v>
      </c>
      <c r="R26" s="29">
        <v>0</v>
      </c>
      <c r="S26" s="29">
        <v>0</v>
      </c>
      <c r="T26" s="29">
        <v>0</v>
      </c>
      <c r="U26" s="29">
        <v>0</v>
      </c>
      <c r="V26" s="29">
        <v>0</v>
      </c>
      <c r="W26" s="30"/>
      <c r="X26" s="30"/>
      <c r="Y26" s="30"/>
    </row>
    <row r="27" spans="1:31" s="32" customFormat="1">
      <c r="A27" s="17" t="s">
        <v>62</v>
      </c>
      <c r="B27" s="27">
        <f t="shared" ref="B27:D27" si="16">SUM(B24:B26)</f>
        <v>378.8</v>
      </c>
      <c r="C27" s="27">
        <f t="shared" si="16"/>
        <v>309.3</v>
      </c>
      <c r="D27" s="27">
        <f t="shared" si="16"/>
        <v>283.89999999999998</v>
      </c>
      <c r="E27" s="27">
        <f t="shared" ref="E27:L27" si="17">SUM(E24:E26)</f>
        <v>262.8</v>
      </c>
      <c r="F27" s="27">
        <f t="shared" si="17"/>
        <v>255.8</v>
      </c>
      <c r="G27" s="27">
        <f t="shared" si="17"/>
        <v>267.3</v>
      </c>
      <c r="H27" s="27">
        <f t="shared" si="17"/>
        <v>286.39999999999998</v>
      </c>
      <c r="I27" s="27">
        <f t="shared" si="17"/>
        <v>225.4</v>
      </c>
      <c r="J27" s="27">
        <f t="shared" si="17"/>
        <v>225.4</v>
      </c>
      <c r="K27" s="27">
        <f t="shared" si="17"/>
        <v>196.9</v>
      </c>
      <c r="L27" s="27">
        <f t="shared" si="17"/>
        <v>191.4</v>
      </c>
      <c r="M27" s="27">
        <f t="shared" ref="M27:V27" si="18">SUM(M24:M26)</f>
        <v>137.815</v>
      </c>
      <c r="N27" s="27">
        <f t="shared" si="18"/>
        <v>126.310018</v>
      </c>
      <c r="O27" s="27">
        <f t="shared" si="18"/>
        <v>113.61001800000001</v>
      </c>
      <c r="P27" s="27">
        <f t="shared" si="18"/>
        <v>109.38901800000001</v>
      </c>
      <c r="Q27" s="27">
        <f t="shared" si="18"/>
        <v>98.456018000000014</v>
      </c>
      <c r="R27" s="27">
        <f t="shared" si="18"/>
        <v>95.00200000000001</v>
      </c>
      <c r="S27" s="27">
        <f t="shared" si="18"/>
        <v>91.903999999999996</v>
      </c>
      <c r="T27" s="27">
        <f t="shared" si="18"/>
        <v>87.085999999999999</v>
      </c>
      <c r="U27" s="27">
        <f t="shared" si="18"/>
        <v>79.682999999999993</v>
      </c>
      <c r="V27" s="27">
        <f t="shared" si="18"/>
        <v>70.725000000000009</v>
      </c>
      <c r="W27" s="31"/>
      <c r="X27" s="31"/>
      <c r="Y27" s="31"/>
    </row>
    <row r="28" spans="1:31" s="24" customFormat="1">
      <c r="G28" s="88"/>
      <c r="AB28" s="136"/>
    </row>
    <row r="29" spans="1:31" s="17" customFormat="1">
      <c r="A29" s="17" t="s">
        <v>58</v>
      </c>
      <c r="B29" s="27">
        <f t="shared" ref="B29:D29" si="19">B22</f>
        <v>86.3</v>
      </c>
      <c r="C29" s="27">
        <f t="shared" si="19"/>
        <v>69.5</v>
      </c>
      <c r="D29" s="27">
        <f t="shared" si="19"/>
        <v>65</v>
      </c>
      <c r="E29" s="27">
        <f t="shared" ref="E29:Y29" si="20">E22</f>
        <v>71.781000000000006</v>
      </c>
      <c r="F29" s="27">
        <f t="shared" si="20"/>
        <v>52.3</v>
      </c>
      <c r="G29" s="27">
        <f t="shared" si="20"/>
        <v>42.6</v>
      </c>
      <c r="H29" s="27">
        <f t="shared" si="20"/>
        <v>52.4</v>
      </c>
      <c r="I29" s="27">
        <f t="shared" si="20"/>
        <v>49.924999999999997</v>
      </c>
      <c r="J29" s="27">
        <f t="shared" si="20"/>
        <v>43.3</v>
      </c>
      <c r="K29" s="27">
        <f t="shared" si="20"/>
        <v>36.5</v>
      </c>
      <c r="L29" s="27">
        <f t="shared" si="20"/>
        <v>43.5</v>
      </c>
      <c r="M29" s="27">
        <f t="shared" si="20"/>
        <v>40.531999999999996</v>
      </c>
      <c r="N29" s="27">
        <f t="shared" si="20"/>
        <v>37.4</v>
      </c>
      <c r="O29" s="27">
        <f t="shared" si="20"/>
        <v>26.082999999999998</v>
      </c>
      <c r="P29" s="27">
        <f t="shared" si="20"/>
        <v>33.799999999999997</v>
      </c>
      <c r="Q29" s="27">
        <f t="shared" si="20"/>
        <v>29.027018000000009</v>
      </c>
      <c r="R29" s="27">
        <f t="shared" si="20"/>
        <v>24.7</v>
      </c>
      <c r="S29" s="27">
        <f t="shared" si="20"/>
        <v>21.861999999999998</v>
      </c>
      <c r="T29" s="27">
        <f t="shared" si="20"/>
        <v>22.867000000000001</v>
      </c>
      <c r="U29" s="27">
        <f t="shared" si="20"/>
        <v>25.573</v>
      </c>
      <c r="V29" s="27">
        <f t="shared" si="20"/>
        <v>21.602</v>
      </c>
      <c r="W29" s="27">
        <f t="shared" si="20"/>
        <v>17.044</v>
      </c>
      <c r="X29" s="27">
        <f t="shared" si="20"/>
        <v>15.464000000000004</v>
      </c>
      <c r="Y29" s="27">
        <f t="shared" si="20"/>
        <v>16.615000000000006</v>
      </c>
      <c r="AB29" s="75"/>
    </row>
    <row r="30" spans="1:31" s="33" customFormat="1">
      <c r="A30" s="20" t="s">
        <v>63</v>
      </c>
      <c r="B30" s="36">
        <f>-65.8-8.1-C30</f>
        <v>-45.199999999999989</v>
      </c>
      <c r="C30" s="36">
        <f>-32.7+4</f>
        <v>-28.700000000000003</v>
      </c>
      <c r="D30" s="36">
        <f>-110.1-E30-F30-G30</f>
        <v>-17.903999999999993</v>
      </c>
      <c r="E30" s="36">
        <f>-92.196-F30-G30</f>
        <v>-39.298000000000002</v>
      </c>
      <c r="F30" s="36">
        <f>-59.582+6.684-G30</f>
        <v>-27.943000000000001</v>
      </c>
      <c r="G30" s="36">
        <f>-27.17+2.215</f>
        <v>-24.955000000000002</v>
      </c>
      <c r="H30" s="36">
        <f>-93.457-I30-J30-K30</f>
        <v>-19.788000000000004</v>
      </c>
      <c r="I30" s="36">
        <f>-73.669-J30-K30</f>
        <v>-27.806999999999995</v>
      </c>
      <c r="J30" s="36">
        <f>-48.323+2.461-K30</f>
        <v>-23.356999999999999</v>
      </c>
      <c r="K30" s="20">
        <f>-23.745+1.24</f>
        <v>-22.505000000000003</v>
      </c>
      <c r="L30" s="20">
        <f>-72.296-M30-N30-O30</f>
        <v>-20.308000000000007</v>
      </c>
      <c r="M30" s="20">
        <v>-20.181000000000001</v>
      </c>
      <c r="N30" s="20">
        <v>-17.009</v>
      </c>
      <c r="O30" s="20">
        <f>-15.647+0.849</f>
        <v>-14.798</v>
      </c>
      <c r="P30" s="20">
        <f>-44.095-Q30-R30-S30</f>
        <v>-12.913999999999996</v>
      </c>
      <c r="Q30" s="20">
        <v>-11.682</v>
      </c>
      <c r="R30" s="20">
        <v>-9.7910000000000004</v>
      </c>
      <c r="S30" s="20">
        <v>-9.7080000000000002</v>
      </c>
      <c r="T30" s="20">
        <f>-21.58-5.776-W30-V30-U30</f>
        <v>-12.351999999999997</v>
      </c>
      <c r="U30" s="20">
        <v>-7.492</v>
      </c>
      <c r="V30" s="20">
        <v>-7.5119999999999996</v>
      </c>
      <c r="W30" s="20">
        <v>0</v>
      </c>
      <c r="X30" s="20">
        <f>-28.925</f>
        <v>-28.925000000000001</v>
      </c>
      <c r="Y30" s="20">
        <v>0</v>
      </c>
    </row>
    <row r="31" spans="1:31" s="33" customFormat="1">
      <c r="A31" s="20" t="s">
        <v>64</v>
      </c>
      <c r="B31" s="36">
        <f>16.9-C31</f>
        <v>34.200000000000003</v>
      </c>
      <c r="C31" s="36">
        <v>-17.3</v>
      </c>
      <c r="D31" s="36">
        <f>-17.8-E31-F31-G31</f>
        <v>-28.008000000000003</v>
      </c>
      <c r="E31" s="36">
        <f>10.208-F31-G31</f>
        <v>-2.8340000000000005</v>
      </c>
      <c r="F31" s="36">
        <f>13.042-G31</f>
        <v>11.48</v>
      </c>
      <c r="G31" s="36">
        <v>1.5620000000000001</v>
      </c>
      <c r="H31" s="36">
        <f>-17.102-I31-J31-K31</f>
        <v>-11.246000000000002</v>
      </c>
      <c r="I31" s="36">
        <f>-5.856-J31-K31</f>
        <v>-0.1540000000000008</v>
      </c>
      <c r="J31" s="36">
        <f>-5.702-K31</f>
        <v>-12.190999999999999</v>
      </c>
      <c r="K31" s="36">
        <v>6.4889999999999999</v>
      </c>
      <c r="L31" s="36">
        <f>-12.806-M31-N31-O31</f>
        <v>-11.673</v>
      </c>
      <c r="M31" s="20">
        <v>1.593</v>
      </c>
      <c r="N31" s="20">
        <v>-3.4660000000000002</v>
      </c>
      <c r="O31" s="20">
        <v>0.74</v>
      </c>
      <c r="P31" s="20">
        <v>41.664000000000001</v>
      </c>
      <c r="Q31" s="20">
        <v>1.1339999999999999</v>
      </c>
      <c r="R31" s="20">
        <v>-4.944</v>
      </c>
      <c r="S31" s="20">
        <v>0</v>
      </c>
      <c r="T31" s="20">
        <f>-4.622-W31-V31-U31</f>
        <v>-1.9020000000000001</v>
      </c>
      <c r="U31" s="20">
        <v>-2.7149999999999999</v>
      </c>
      <c r="V31" s="20">
        <v>-5.0000000000000001E-3</v>
      </c>
      <c r="W31" s="20">
        <v>0</v>
      </c>
      <c r="X31" s="20">
        <f>-9.08</f>
        <v>-9.08</v>
      </c>
      <c r="Y31" s="20">
        <v>0</v>
      </c>
    </row>
    <row r="32" spans="1:31" s="33" customFormat="1">
      <c r="A32" s="20" t="s">
        <v>65</v>
      </c>
      <c r="B32" s="36">
        <f>-23.9-28.2+7.6+5.1-4.1-27.5-C32</f>
        <v>-52.6</v>
      </c>
      <c r="C32" s="36">
        <f>-9-8.2+5.9-1.2-20.9+15</f>
        <v>-18.399999999999999</v>
      </c>
      <c r="D32" s="36">
        <f>2.9-0.9+31.8-4+9.3-1.3-E32-F32-G32</f>
        <v>25.507999999999999</v>
      </c>
      <c r="E32" s="36">
        <f>-1.625-1.253+36.74-10.868+10.937-21.639-F32-G32</f>
        <v>2.2919999999999945</v>
      </c>
      <c r="F32" s="36">
        <f>12.4-2.2+33.3-14.9-0.4-18.2-G32</f>
        <v>30.300000000000004</v>
      </c>
      <c r="G32" s="36">
        <f>-0.7+0.3+2-8.7-9.9-3.3</f>
        <v>-20.3</v>
      </c>
      <c r="H32" s="36">
        <f>-10.11-20.184+6.66+10.758+21.043+5.932-I32-J32-K32</f>
        <v>43.655000000000001</v>
      </c>
      <c r="I32" s="36">
        <f>-27.539-14.638+6.616-3.892+9.571+0.326-J32-K32</f>
        <v>-2.3510000000000062</v>
      </c>
      <c r="J32" s="36">
        <f>-28.971-13.547+8.82+2.122+3.207+1.164-K32</f>
        <v>-1.705999999999996</v>
      </c>
      <c r="K32" s="36">
        <f>-15.682-2.991+5.716-6.683+0.221-6.08</f>
        <v>-25.499000000000002</v>
      </c>
      <c r="L32" s="36">
        <f>-21.603-7.863+4.295+16.268+6.869+0.774-M32-N32-O32</f>
        <v>17.523000000000003</v>
      </c>
      <c r="M32" s="20">
        <f>-17.393-3.02+0.695+9.458-0.747-7.776-N32-O32</f>
        <v>-0.21900000000000475</v>
      </c>
      <c r="N32" s="20">
        <f>-26.194-0.842+0.302+8.51-0.393+0.053-O32</f>
        <v>-5.5059999999999949</v>
      </c>
      <c r="O32" s="20">
        <f>-7.994-0.681+2.994-0.305-4.742-2.33</f>
        <v>-13.058000000000002</v>
      </c>
      <c r="P32" s="20">
        <v>5.7059999999999995</v>
      </c>
      <c r="Q32" s="20">
        <f>-10.986-4.325+3.599+1.571+2.916-10.236-R32-S32</f>
        <v>-6.1109999999999953</v>
      </c>
      <c r="R32" s="20">
        <f>-19.164+4.781+1.627+0.135+0.219+0.918+4.472-0.066-4.858+0.586-S32</f>
        <v>0.19199999999999662</v>
      </c>
      <c r="S32" s="20">
        <f>-9.594-0.993+1.389-0.637+0.094+0.045-2.955+0.053+0.769+0.287</f>
        <v>-11.542</v>
      </c>
      <c r="T32" s="20">
        <f>-9.757-3.022-2.932-0.59+0.11+8.934+11.643+5.652+3.387-0.026-W32-V32-U32</f>
        <v>30.951999999999995</v>
      </c>
      <c r="U32" s="20">
        <f>-8.88-3.334-0.207+0.099-0.962+3.889-4.478-4.326+0.646-W32-V32</f>
        <v>-7.1930000000000014</v>
      </c>
      <c r="V32" s="20">
        <f>-8.648-2.653-1.298+0.16-0.949+5.876+0.233-3.924+0.843-W32</f>
        <v>0.84300000000000175</v>
      </c>
      <c r="W32" s="20">
        <f>-0.929-0.621-0.379-0.45+0.081+0.506-8.069-1.3-0.042</f>
        <v>-11.203000000000001</v>
      </c>
      <c r="X32" s="20">
        <f>-0.715-2.967+0.391+0.066+0.745-1.059+3.75+0.738-0.504</f>
        <v>0.44500000000000028</v>
      </c>
      <c r="Y32" s="20">
        <f>-4.133-6.845-0.823+1.122+0.237+1.953+1.325-3.221+0.035-(-5.44-6.161-2.175+1.035+0.467+2.543+0.629-0.999-0.885)</f>
        <v>0.63599999999999746</v>
      </c>
    </row>
    <row r="33" spans="1:27"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c r="W33" s="20">
        <v>0</v>
      </c>
      <c r="X33" s="20">
        <v>0</v>
      </c>
      <c r="Y33" s="20">
        <v>0</v>
      </c>
    </row>
    <row r="34" spans="1:27"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c r="X34" s="29">
        <v>0</v>
      </c>
      <c r="Y34" s="29">
        <v>0</v>
      </c>
    </row>
    <row r="35" spans="1:27" s="27" customFormat="1">
      <c r="A35" s="27" t="s">
        <v>67</v>
      </c>
      <c r="B35" s="27">
        <f>26.9-C35</f>
        <v>28.299999999999997</v>
      </c>
      <c r="C35" s="27">
        <v>-1.4</v>
      </c>
      <c r="D35" s="27">
        <f>101.5-E35-F35-G35</f>
        <v>20.68099999999999</v>
      </c>
      <c r="E35" s="27">
        <f>80.819-F35-G35</f>
        <v>33.919000000000004</v>
      </c>
      <c r="F35" s="27">
        <f>46.9-G35</f>
        <v>55.5</v>
      </c>
      <c r="G35" s="27">
        <v>-8.6</v>
      </c>
      <c r="H35" s="27">
        <f>34.284-I35-J35-K35</f>
        <v>38.031999999999996</v>
      </c>
      <c r="I35" s="27">
        <f>-3.748-J35-K35</f>
        <v>13.498999999999999</v>
      </c>
      <c r="J35" s="27">
        <f>-17.247-K35</f>
        <v>-4.7210000000000001</v>
      </c>
      <c r="K35" s="27">
        <v>-12.526</v>
      </c>
      <c r="L35" s="27">
        <f>11.511-M35-N35-O35</f>
        <v>7.5059999999999993</v>
      </c>
      <c r="M35" s="27">
        <f>4.005-N35-O35</f>
        <v>7.7770000000000001</v>
      </c>
      <c r="N35" s="27">
        <f>-3.772-O35</f>
        <v>5.7080000000000002</v>
      </c>
      <c r="O35" s="27">
        <v>-9.48</v>
      </c>
      <c r="P35" s="27">
        <f>8.7-Q35-R35-S35</f>
        <v>5.5509999999999993</v>
      </c>
      <c r="Q35" s="27">
        <f>3.149-R35-S35</f>
        <v>7.0990000000000002</v>
      </c>
      <c r="R35" s="27">
        <f>-3.95-S35</f>
        <v>0.67199999999999971</v>
      </c>
      <c r="S35" s="27">
        <v>-4.6219999999999999</v>
      </c>
      <c r="T35" s="27">
        <f>36.032-W35-V35-U35</f>
        <v>19.087999999999997</v>
      </c>
      <c r="U35" s="27">
        <f>16.944-W35-V35</f>
        <v>7.8909999999999982</v>
      </c>
      <c r="V35" s="27">
        <f>9.053-W35</f>
        <v>11.468</v>
      </c>
      <c r="W35" s="27">
        <v>-2.415</v>
      </c>
      <c r="X35" s="27">
        <f>18.394</f>
        <v>18.393999999999998</v>
      </c>
      <c r="Y35" s="27">
        <f>7.863+1.713</f>
        <v>9.5760000000000005</v>
      </c>
    </row>
    <row r="36" spans="1:27" s="33" customFormat="1">
      <c r="A36" s="20" t="s">
        <v>68</v>
      </c>
      <c r="B36" s="29">
        <f>-40.3-C36</f>
        <v>-19.399999999999999</v>
      </c>
      <c r="C36" s="29">
        <v>-20.9</v>
      </c>
      <c r="D36" s="29">
        <f>-66.3-E36-F36-G36</f>
        <v>-22.748999999999992</v>
      </c>
      <c r="E36" s="29">
        <f>-43.551-F36-G36</f>
        <v>-17.751000000000001</v>
      </c>
      <c r="F36" s="29">
        <f>-25.8-G36</f>
        <v>-12.5</v>
      </c>
      <c r="G36" s="29">
        <v>-13.3</v>
      </c>
      <c r="H36" s="29">
        <f>-40.916-1.561-I36-J36-K36</f>
        <v>-9.3229999999999951</v>
      </c>
      <c r="I36" s="29">
        <f>-33.154-J36-K36</f>
        <v>-10.987000000000004</v>
      </c>
      <c r="J36" s="29">
        <f>-22.167-K36</f>
        <v>-9.5640000000000018</v>
      </c>
      <c r="K36" s="29">
        <v>-12.603</v>
      </c>
      <c r="L36" s="29">
        <f>-33.559-10.681-M36-N36-O36</f>
        <v>-14.884999999999998</v>
      </c>
      <c r="M36" s="29">
        <f>-29.355-N36-O36</f>
        <v>-10.958000000000002</v>
      </c>
      <c r="N36" s="29">
        <f>-18.397-O36</f>
        <v>-10.029999999999998</v>
      </c>
      <c r="O36" s="29">
        <v>-8.3670000000000009</v>
      </c>
      <c r="P36" s="29">
        <f>-16-Q36-R36-S36</f>
        <v>-6.0009999999999994</v>
      </c>
      <c r="Q36" s="29">
        <f>-9.999-R36-S36</f>
        <v>-5.0980000000000008</v>
      </c>
      <c r="R36" s="29">
        <f>-4.901-S36</f>
        <v>-3.2309999999999999</v>
      </c>
      <c r="S36" s="29">
        <v>-1.67</v>
      </c>
      <c r="T36" s="29">
        <f>-8.694-W36-V36-U36</f>
        <v>-1.7160000000000011</v>
      </c>
      <c r="U36" s="29">
        <f>-6.978-W36-V36</f>
        <v>-2.6349999999999998</v>
      </c>
      <c r="V36" s="29">
        <f>-4.343-W36</f>
        <v>-2.657</v>
      </c>
      <c r="W36" s="29">
        <v>-1.6859999999999999</v>
      </c>
      <c r="X36" s="29">
        <f>-9.931</f>
        <v>-9.9309999999999992</v>
      </c>
      <c r="Y36" s="29">
        <f>-6.982+4.099</f>
        <v>-2.883</v>
      </c>
    </row>
    <row r="37" spans="1:27" s="27" customFormat="1">
      <c r="A37" s="27" t="s">
        <v>69</v>
      </c>
      <c r="B37" s="27">
        <f t="shared" ref="B37:Y37" si="21">+B35+B36</f>
        <v>8.8999999999999986</v>
      </c>
      <c r="C37" s="27">
        <f t="shared" si="21"/>
        <v>-22.299999999999997</v>
      </c>
      <c r="D37" s="27">
        <f t="shared" si="21"/>
        <v>-2.0680000000000014</v>
      </c>
      <c r="E37" s="27">
        <f t="shared" si="21"/>
        <v>16.168000000000003</v>
      </c>
      <c r="F37" s="27">
        <f t="shared" si="21"/>
        <v>43</v>
      </c>
      <c r="G37" s="27">
        <f t="shared" si="21"/>
        <v>-21.9</v>
      </c>
      <c r="H37" s="27">
        <f t="shared" si="21"/>
        <v>28.709000000000003</v>
      </c>
      <c r="I37" s="27">
        <f t="shared" si="21"/>
        <v>2.5119999999999951</v>
      </c>
      <c r="J37" s="27">
        <f t="shared" si="21"/>
        <v>-14.285000000000002</v>
      </c>
      <c r="K37" s="27">
        <f t="shared" si="21"/>
        <v>-25.128999999999998</v>
      </c>
      <c r="L37" s="27">
        <f t="shared" si="21"/>
        <v>-7.3789999999999987</v>
      </c>
      <c r="M37" s="27">
        <f t="shared" si="21"/>
        <v>-3.1810000000000018</v>
      </c>
      <c r="N37" s="27">
        <f t="shared" si="21"/>
        <v>-4.3219999999999974</v>
      </c>
      <c r="O37" s="27">
        <f t="shared" si="21"/>
        <v>-17.847000000000001</v>
      </c>
      <c r="P37" s="27">
        <f t="shared" si="21"/>
        <v>-0.45000000000000018</v>
      </c>
      <c r="Q37" s="27">
        <f t="shared" si="21"/>
        <v>2.0009999999999994</v>
      </c>
      <c r="R37" s="27">
        <f t="shared" si="21"/>
        <v>-2.5590000000000002</v>
      </c>
      <c r="S37" s="27">
        <f t="shared" si="21"/>
        <v>-6.2919999999999998</v>
      </c>
      <c r="T37" s="27">
        <f t="shared" si="21"/>
        <v>17.371999999999996</v>
      </c>
      <c r="U37" s="27">
        <f t="shared" si="21"/>
        <v>5.2559999999999985</v>
      </c>
      <c r="V37" s="27">
        <f t="shared" si="21"/>
        <v>8.8109999999999999</v>
      </c>
      <c r="W37" s="27">
        <f t="shared" si="21"/>
        <v>-4.101</v>
      </c>
      <c r="X37" s="27">
        <f t="shared" si="21"/>
        <v>8.4629999999999992</v>
      </c>
      <c r="Y37" s="27">
        <f t="shared" si="21"/>
        <v>6.6930000000000005</v>
      </c>
    </row>
    <row r="38" spans="1:27">
      <c r="B38" s="55"/>
      <c r="C38" s="55"/>
      <c r="D38" s="55"/>
      <c r="E38" s="55"/>
      <c r="F38" s="55"/>
      <c r="G38" s="55"/>
      <c r="H38" s="55"/>
      <c r="I38" s="55"/>
      <c r="J38" s="55"/>
      <c r="K38" s="55"/>
      <c r="L38" s="55"/>
      <c r="M38" s="55"/>
      <c r="N38" s="55"/>
      <c r="O38" s="55"/>
      <c r="P38" s="55"/>
      <c r="Q38" s="55"/>
      <c r="R38" s="55"/>
      <c r="AA38" s="33"/>
    </row>
    <row r="39" spans="1:27" s="35" customFormat="1">
      <c r="A39" s="34" t="s">
        <v>70</v>
      </c>
      <c r="B39" s="20">
        <v>6</v>
      </c>
      <c r="C39" s="20">
        <v>42.9</v>
      </c>
      <c r="D39" s="20">
        <v>0</v>
      </c>
      <c r="E39" s="20">
        <v>2.2759999999999998</v>
      </c>
      <c r="F39" s="20">
        <v>0</v>
      </c>
      <c r="G39" s="20">
        <v>0</v>
      </c>
      <c r="H39" s="20">
        <v>0</v>
      </c>
      <c r="I39" s="20">
        <v>4.8899999999999997</v>
      </c>
      <c r="J39" s="20">
        <v>0</v>
      </c>
      <c r="K39" s="20">
        <v>0</v>
      </c>
      <c r="L39" s="20">
        <v>23</v>
      </c>
      <c r="M39" s="20">
        <f>5.013</f>
        <v>5.0129999999999999</v>
      </c>
      <c r="N39" s="20">
        <v>0</v>
      </c>
      <c r="O39" s="20">
        <v>0</v>
      </c>
      <c r="P39" s="20">
        <v>0</v>
      </c>
      <c r="Q39" s="20">
        <v>0</v>
      </c>
      <c r="R39" s="20">
        <v>0</v>
      </c>
      <c r="S39" s="20">
        <v>16.704999999999998</v>
      </c>
      <c r="T39" s="20">
        <v>18.805</v>
      </c>
      <c r="U39" s="20">
        <v>0</v>
      </c>
      <c r="V39" s="20">
        <v>0</v>
      </c>
      <c r="W39" s="20"/>
      <c r="X39" s="20"/>
      <c r="Y39" s="20"/>
      <c r="AA39" s="33"/>
    </row>
    <row r="40" spans="1:27" s="35" customFormat="1">
      <c r="A40" s="34" t="s">
        <v>71</v>
      </c>
      <c r="B40" s="20">
        <f>607.5+332.9+68.8+197+546.3+14.3+12.5</f>
        <v>1779.2999999999997</v>
      </c>
      <c r="C40" s="20">
        <f>609.1+333.8+69+197.5+397.2+19.8</f>
        <v>1626.4</v>
      </c>
      <c r="D40" s="20">
        <f>1276+335+14</f>
        <v>1625</v>
      </c>
      <c r="E40" s="20">
        <f>15.995+3.422+1548.872+6.234</f>
        <v>1574.5229999999999</v>
      </c>
      <c r="F40" s="20">
        <f>613.9+336.4+69.5+199+350+8.4</f>
        <v>1577.2</v>
      </c>
      <c r="G40" s="20">
        <f>615.5+337.2+69.7+199.5+300+9.8</f>
        <v>1531.7</v>
      </c>
      <c r="H40" s="20">
        <f>617+338+70+200+300+6</f>
        <v>1531</v>
      </c>
      <c r="I40" s="20">
        <f>11.995+2.622+1215.617+2.892</f>
        <v>1233.126</v>
      </c>
      <c r="J40" s="20">
        <f>1030+200</f>
        <v>1230</v>
      </c>
      <c r="K40" s="20">
        <f>1030</f>
        <v>1030</v>
      </c>
      <c r="L40" s="20">
        <v>965</v>
      </c>
      <c r="M40" s="20">
        <f>9.795+0.224+957.612+2.141</f>
        <v>969.77199999999993</v>
      </c>
      <c r="N40" s="20">
        <f>741+230</f>
        <v>971</v>
      </c>
      <c r="O40" s="20">
        <f>741+230</f>
        <v>971</v>
      </c>
      <c r="P40" s="20">
        <v>715</v>
      </c>
      <c r="Q40" s="20">
        <f>640.5+2.182+3.15</f>
        <v>645.83199999999999</v>
      </c>
      <c r="R40" s="20">
        <v>635</v>
      </c>
      <c r="S40" s="20">
        <f>0.166+371.538</f>
        <v>371.70400000000001</v>
      </c>
      <c r="T40" s="20">
        <f>0.059+370.332</f>
        <v>370.39100000000002</v>
      </c>
      <c r="U40" s="20">
        <f>0.42+168.985</f>
        <v>169.405</v>
      </c>
      <c r="V40" s="20">
        <f>3+169.395+0.625</f>
        <v>173.02</v>
      </c>
      <c r="W40" s="20"/>
      <c r="X40" s="20"/>
      <c r="Y40" s="20"/>
      <c r="AA40" s="33"/>
    </row>
    <row r="41" spans="1:27" s="35" customFormat="1">
      <c r="A41" s="34" t="s">
        <v>72</v>
      </c>
      <c r="B41" s="20">
        <f>B39+B40+304.5</f>
        <v>2089.7999999999997</v>
      </c>
      <c r="C41" s="20">
        <f>C39+C40+304.5</f>
        <v>1973.8000000000002</v>
      </c>
      <c r="D41" s="20">
        <f>D39+D40+305</f>
        <v>1930</v>
      </c>
      <c r="E41" s="20">
        <f>E39+E40+304.461</f>
        <v>1881.26</v>
      </c>
      <c r="F41" s="20">
        <f>F39+F40+304.5</f>
        <v>1881.7</v>
      </c>
      <c r="G41" s="20">
        <f>G39+G40+304.5</f>
        <v>1836.2</v>
      </c>
      <c r="H41" s="20">
        <f>H39+H40+304.461</f>
        <v>1835.461</v>
      </c>
      <c r="I41" s="20">
        <f>I39+I40+304.461</f>
        <v>1542.4770000000001</v>
      </c>
      <c r="J41" s="20">
        <f>J39+J40+305</f>
        <v>1535</v>
      </c>
      <c r="K41" s="20">
        <f>K39+K40+305</f>
        <v>1335</v>
      </c>
      <c r="L41" s="20">
        <f>L39+L40+304.5+7.1</f>
        <v>1299.5999999999999</v>
      </c>
      <c r="M41" s="20">
        <f>M39+M40+235.461</f>
        <v>1210.2460000000001</v>
      </c>
      <c r="N41" s="20">
        <f>N39+N40+236</f>
        <v>1207</v>
      </c>
      <c r="O41" s="20">
        <f>O39+O40+236</f>
        <v>1207</v>
      </c>
      <c r="P41" s="20">
        <f>P39+P40+264</f>
        <v>979</v>
      </c>
      <c r="Q41" s="20">
        <f>Q39+Q40+235.461</f>
        <v>881.29300000000001</v>
      </c>
      <c r="R41" s="20">
        <f>R39+R40+230</f>
        <v>865</v>
      </c>
      <c r="S41" s="20">
        <f>S39+S40+150+0.621</f>
        <v>539.03</v>
      </c>
      <c r="T41" s="20">
        <f>T39+T40+150+0.609</f>
        <v>539.80500000000006</v>
      </c>
      <c r="U41" s="20">
        <f>U39+U40+174.688+1.788+0.671</f>
        <v>346.55199999999996</v>
      </c>
      <c r="V41" s="20">
        <f>V39+V40+174.649+0.696</f>
        <v>348.36500000000001</v>
      </c>
      <c r="W41" s="20"/>
      <c r="X41" s="20"/>
      <c r="Y41" s="20"/>
      <c r="AA41" s="33"/>
    </row>
    <row r="42" spans="1:27" s="35" customFormat="1">
      <c r="A42" s="34" t="s">
        <v>73</v>
      </c>
      <c r="B42" s="36">
        <f t="shared" ref="B42:H42" si="22">769+454</f>
        <v>1223</v>
      </c>
      <c r="C42" s="36">
        <f t="shared" si="22"/>
        <v>1223</v>
      </c>
      <c r="D42" s="36">
        <f t="shared" si="22"/>
        <v>1223</v>
      </c>
      <c r="E42" s="36">
        <f t="shared" si="22"/>
        <v>1223</v>
      </c>
      <c r="F42" s="36">
        <f t="shared" si="22"/>
        <v>1223</v>
      </c>
      <c r="G42" s="36">
        <f t="shared" si="22"/>
        <v>1223</v>
      </c>
      <c r="H42" s="36">
        <f t="shared" si="22"/>
        <v>1223</v>
      </c>
      <c r="I42" s="36">
        <v>762</v>
      </c>
      <c r="J42" s="36">
        <v>762</v>
      </c>
      <c r="K42" s="36">
        <v>665</v>
      </c>
      <c r="L42" s="36">
        <f>M42</f>
        <v>645</v>
      </c>
      <c r="M42" s="36">
        <f>N42</f>
        <v>645</v>
      </c>
      <c r="N42" s="36">
        <v>645</v>
      </c>
      <c r="O42" s="36">
        <v>645</v>
      </c>
      <c r="P42" s="36">
        <v>585</v>
      </c>
      <c r="Q42" s="36">
        <f>420+158</f>
        <v>578</v>
      </c>
      <c r="R42" s="36">
        <f>420+158</f>
        <v>578</v>
      </c>
      <c r="S42" s="36">
        <v>420</v>
      </c>
      <c r="T42" s="36">
        <v>420</v>
      </c>
      <c r="U42" s="36">
        <v>420</v>
      </c>
      <c r="V42" s="36">
        <v>420</v>
      </c>
      <c r="W42" s="36"/>
      <c r="X42" s="36"/>
      <c r="Y42" s="36"/>
      <c r="AA42" s="33"/>
    </row>
    <row r="43" spans="1:27">
      <c r="B43" s="33"/>
      <c r="C43" s="33"/>
      <c r="D43" s="33"/>
      <c r="E43" s="33"/>
      <c r="F43" s="33"/>
      <c r="G43" s="33"/>
      <c r="H43" s="33"/>
      <c r="I43" s="33"/>
      <c r="J43" s="35"/>
      <c r="K43" s="35"/>
      <c r="L43" s="35"/>
      <c r="M43" s="35"/>
      <c r="N43" s="35"/>
      <c r="O43" s="35"/>
      <c r="P43" s="35"/>
      <c r="Q43" s="35"/>
      <c r="R43" s="35"/>
      <c r="S43" s="35"/>
      <c r="T43" s="35"/>
    </row>
    <row r="44" spans="1:27">
      <c r="A44" s="19" t="s">
        <v>74</v>
      </c>
      <c r="B44" s="28">
        <v>70.2</v>
      </c>
      <c r="C44" s="28">
        <v>123.6</v>
      </c>
      <c r="D44" s="28">
        <v>249</v>
      </c>
      <c r="E44" s="28">
        <v>227.13</v>
      </c>
      <c r="F44" s="28">
        <v>245.8</v>
      </c>
      <c r="G44" s="28">
        <v>164.8</v>
      </c>
      <c r="H44" s="28">
        <v>71</v>
      </c>
      <c r="I44" s="28">
        <v>85.653999999999996</v>
      </c>
      <c r="J44" s="28">
        <f>44+17</f>
        <v>61</v>
      </c>
      <c r="K44" s="28">
        <v>49</v>
      </c>
      <c r="L44" s="28">
        <v>62.8</v>
      </c>
      <c r="M44" s="28">
        <v>61.732999999999997</v>
      </c>
      <c r="N44" s="28">
        <v>57</v>
      </c>
      <c r="O44" s="28">
        <v>57</v>
      </c>
      <c r="P44" s="28">
        <v>52</v>
      </c>
      <c r="Q44" s="28">
        <v>57.390999999999998</v>
      </c>
      <c r="R44" s="28">
        <v>53</v>
      </c>
      <c r="S44" s="28">
        <v>22.013000000000002</v>
      </c>
      <c r="T44" s="28">
        <v>30.251999999999999</v>
      </c>
      <c r="U44" s="28">
        <v>27.943999999999999</v>
      </c>
      <c r="V44" s="28">
        <v>26.199000000000002</v>
      </c>
      <c r="W44" s="28"/>
      <c r="X44" s="28"/>
      <c r="Y44" s="28"/>
    </row>
    <row r="46" spans="1:27">
      <c r="A46" s="14" t="s">
        <v>75</v>
      </c>
      <c r="B46" s="58">
        <f t="shared" ref="B46:L46" si="23">SUM(B12:E12)</f>
        <v>1548.27</v>
      </c>
      <c r="C46" s="58">
        <f t="shared" si="23"/>
        <v>1409.5700000000002</v>
      </c>
      <c r="D46" s="58">
        <f t="shared" si="23"/>
        <v>1324.6699999999998</v>
      </c>
      <c r="E46" s="58">
        <f t="shared" si="23"/>
        <v>1261.2670000000001</v>
      </c>
      <c r="F46" s="58">
        <f t="shared" si="23"/>
        <v>1167.5210000000002</v>
      </c>
      <c r="G46" s="58">
        <f t="shared" si="23"/>
        <v>1139.421</v>
      </c>
      <c r="H46" s="58">
        <f t="shared" si="23"/>
        <v>1080.9480000000001</v>
      </c>
      <c r="I46" s="58">
        <f t="shared" si="23"/>
        <v>996.24500000000012</v>
      </c>
      <c r="J46" s="58">
        <f t="shared" si="23"/>
        <v>938.04100000000005</v>
      </c>
      <c r="K46" s="58">
        <f t="shared" si="23"/>
        <v>877.91499999999996</v>
      </c>
      <c r="L46" s="58">
        <f t="shared" si="23"/>
        <v>810.38799999999992</v>
      </c>
      <c r="M46" s="51">
        <v>784</v>
      </c>
      <c r="N46" s="51">
        <v>784</v>
      </c>
      <c r="O46" s="51">
        <v>784</v>
      </c>
      <c r="P46" s="51">
        <v>686</v>
      </c>
      <c r="Q46" s="51">
        <v>618</v>
      </c>
      <c r="R46" s="51">
        <v>618</v>
      </c>
      <c r="S46" s="33">
        <f>SUM(S12:V12)</f>
        <v>435.78100000000001</v>
      </c>
      <c r="T46" s="33">
        <f>SUM(T12:W12)</f>
        <v>419.613</v>
      </c>
      <c r="U46" s="33">
        <f>SUM(U12:X12)</f>
        <v>435.48799999999994</v>
      </c>
      <c r="V46" s="33">
        <f>SUM(V12:Y12)</f>
        <v>421.17099999999994</v>
      </c>
    </row>
    <row r="47" spans="1:27">
      <c r="A47" s="14" t="s">
        <v>76</v>
      </c>
      <c r="B47" s="58">
        <f t="shared" ref="B47" si="24">B27</f>
        <v>378.8</v>
      </c>
      <c r="C47" s="58">
        <f t="shared" ref="C47:D47" si="25">C27</f>
        <v>309.3</v>
      </c>
      <c r="D47" s="58">
        <f t="shared" si="25"/>
        <v>283.89999999999998</v>
      </c>
      <c r="E47" s="58">
        <f t="shared" ref="E47:F47" si="26">E27</f>
        <v>262.8</v>
      </c>
      <c r="F47" s="58">
        <f t="shared" si="26"/>
        <v>255.8</v>
      </c>
      <c r="G47" s="58">
        <f t="shared" ref="G47:L47" si="27">G27</f>
        <v>267.3</v>
      </c>
      <c r="H47" s="58">
        <f t="shared" si="27"/>
        <v>286.39999999999998</v>
      </c>
      <c r="I47" s="58">
        <f t="shared" si="27"/>
        <v>225.4</v>
      </c>
      <c r="J47" s="58">
        <f t="shared" si="27"/>
        <v>225.4</v>
      </c>
      <c r="K47" s="58">
        <f t="shared" si="27"/>
        <v>196.9</v>
      </c>
      <c r="L47" s="58">
        <f t="shared" si="27"/>
        <v>191.4</v>
      </c>
      <c r="M47" s="51">
        <v>182</v>
      </c>
      <c r="N47" s="51">
        <v>182</v>
      </c>
      <c r="O47" s="51">
        <v>182</v>
      </c>
      <c r="P47" s="51">
        <v>152.1</v>
      </c>
      <c r="Q47" s="51">
        <v>131</v>
      </c>
      <c r="R47" s="51">
        <v>131</v>
      </c>
      <c r="S47" s="33">
        <f>+S27</f>
        <v>91.903999999999996</v>
      </c>
      <c r="T47" s="33">
        <f>+T27</f>
        <v>87.085999999999999</v>
      </c>
      <c r="U47" s="33">
        <f>+U27</f>
        <v>79.682999999999993</v>
      </c>
      <c r="V47" s="33">
        <f>+V27</f>
        <v>70.725000000000009</v>
      </c>
    </row>
    <row r="48" spans="1:27">
      <c r="A48" s="14" t="s">
        <v>77</v>
      </c>
      <c r="B48" s="33">
        <f t="shared" ref="B48:P48" si="28">+SUM(B37:E37)</f>
        <v>0.70000000000000284</v>
      </c>
      <c r="C48" s="33">
        <f t="shared" si="28"/>
        <v>34.800000000000004</v>
      </c>
      <c r="D48" s="33">
        <f t="shared" si="28"/>
        <v>35.200000000000003</v>
      </c>
      <c r="E48" s="33">
        <f t="shared" si="28"/>
        <v>65.977000000000004</v>
      </c>
      <c r="F48" s="33">
        <f t="shared" si="28"/>
        <v>52.320999999999998</v>
      </c>
      <c r="G48" s="33">
        <f t="shared" si="28"/>
        <v>-4.9640000000000022</v>
      </c>
      <c r="H48" s="33">
        <f t="shared" si="28"/>
        <v>-8.1930000000000049</v>
      </c>
      <c r="I48" s="33">
        <f t="shared" si="28"/>
        <v>-44.280999999999999</v>
      </c>
      <c r="J48" s="33">
        <f t="shared" si="28"/>
        <v>-49.974000000000004</v>
      </c>
      <c r="K48" s="33">
        <f t="shared" si="28"/>
        <v>-40.010999999999996</v>
      </c>
      <c r="L48" s="33">
        <f t="shared" si="28"/>
        <v>-32.728999999999999</v>
      </c>
      <c r="M48" s="33">
        <f t="shared" si="28"/>
        <v>-25.8</v>
      </c>
      <c r="N48" s="33">
        <f t="shared" si="28"/>
        <v>-20.617999999999995</v>
      </c>
      <c r="O48" s="33">
        <f t="shared" si="28"/>
        <v>-18.855</v>
      </c>
      <c r="P48" s="33">
        <f t="shared" si="28"/>
        <v>-7.3000000000000007</v>
      </c>
      <c r="Q48" s="51">
        <v>70.956999999999994</v>
      </c>
      <c r="R48" s="51">
        <v>70.956999999999994</v>
      </c>
      <c r="S48" s="33">
        <f>+SUM(S37:V37)</f>
        <v>25.146999999999995</v>
      </c>
      <c r="T48" s="33">
        <f>+SUM(T37:W37)</f>
        <v>27.337999999999994</v>
      </c>
      <c r="U48" s="33">
        <f>+SUM(U37:X37)</f>
        <v>18.428999999999995</v>
      </c>
      <c r="V48" s="33">
        <f>+SUM(V37:Y37)</f>
        <v>19.866</v>
      </c>
    </row>
    <row r="50" spans="1:25" s="37" customFormat="1">
      <c r="A50" s="37" t="s">
        <v>78</v>
      </c>
      <c r="B50" s="37">
        <f t="shared" ref="B50" si="29">+SUM(B39:B40)/B47</f>
        <v>4.7130411826821534</v>
      </c>
      <c r="C50" s="37">
        <f t="shared" ref="C50:D50" si="30">+SUM(C39:C40)/C47</f>
        <v>5.3970255415454256</v>
      </c>
      <c r="D50" s="37">
        <f t="shared" si="30"/>
        <v>5.7238464247974647</v>
      </c>
      <c r="E50" s="37">
        <f t="shared" ref="E50:F50" si="31">+SUM(E39:E40)/E47</f>
        <v>5.9999961948249618</v>
      </c>
      <c r="F50" s="37">
        <f t="shared" si="31"/>
        <v>6.1657544956997654</v>
      </c>
      <c r="G50" s="37">
        <f t="shared" ref="G50:H50" si="32">+SUM(G39:G40)/G47</f>
        <v>5.7302656191545083</v>
      </c>
      <c r="H50" s="37">
        <f t="shared" si="32"/>
        <v>5.3456703910614527</v>
      </c>
      <c r="I50" s="37">
        <f t="shared" ref="I50:J50" si="33">+SUM(I39:I40)/I47</f>
        <v>5.4925288376220056</v>
      </c>
      <c r="J50" s="37">
        <f t="shared" si="33"/>
        <v>5.4569653948535937</v>
      </c>
      <c r="K50" s="37">
        <f t="shared" ref="K50:L50" si="34">+SUM(K39:K40)/K47</f>
        <v>5.2310817673946168</v>
      </c>
      <c r="L50" s="37">
        <f t="shared" si="34"/>
        <v>5.1619644723092994</v>
      </c>
      <c r="M50" s="37">
        <f t="shared" ref="M50:V50" si="35">+SUM(M39:M40)/M47</f>
        <v>5.3559615384615382</v>
      </c>
      <c r="N50" s="37">
        <f t="shared" si="35"/>
        <v>5.3351648351648349</v>
      </c>
      <c r="O50" s="37">
        <f t="shared" si="35"/>
        <v>5.3351648351648349</v>
      </c>
      <c r="P50" s="37">
        <f t="shared" si="35"/>
        <v>4.700854700854701</v>
      </c>
      <c r="Q50" s="37">
        <f t="shared" si="35"/>
        <v>4.9300152671755724</v>
      </c>
      <c r="R50" s="37">
        <f t="shared" si="35"/>
        <v>4.8473282442748094</v>
      </c>
      <c r="S50" s="37">
        <f t="shared" si="35"/>
        <v>4.2262469533426188</v>
      </c>
      <c r="T50" s="37">
        <f t="shared" si="35"/>
        <v>4.4690995108283769</v>
      </c>
      <c r="U50" s="37">
        <f t="shared" si="35"/>
        <v>2.1259867223874607</v>
      </c>
      <c r="V50" s="37">
        <f t="shared" si="35"/>
        <v>2.4463768115942028</v>
      </c>
    </row>
    <row r="51" spans="1:25" s="37" customFormat="1">
      <c r="A51" s="37" t="s">
        <v>79</v>
      </c>
      <c r="B51" s="37">
        <f t="shared" ref="B51" si="36">+B41/B47</f>
        <v>5.5168954593453003</v>
      </c>
      <c r="C51" s="37">
        <f t="shared" ref="C51:D51" si="37">+C41/C47</f>
        <v>6.3815066278693831</v>
      </c>
      <c r="D51" s="37">
        <f t="shared" si="37"/>
        <v>6.7981683691440651</v>
      </c>
      <c r="E51" s="37">
        <f t="shared" ref="E51:F51" si="38">+E41/E47</f>
        <v>7.1585235920852357</v>
      </c>
      <c r="F51" s="37">
        <f t="shared" si="38"/>
        <v>7.3561376075058638</v>
      </c>
      <c r="G51" s="37">
        <f t="shared" ref="G51:H51" si="39">+G41/G47</f>
        <v>6.8694350916573139</v>
      </c>
      <c r="H51" s="37">
        <f t="shared" si="39"/>
        <v>6.4087325418994423</v>
      </c>
      <c r="I51" s="37">
        <f t="shared" ref="I51:J51" si="40">+I41/I47</f>
        <v>6.8432874889086071</v>
      </c>
      <c r="J51" s="37">
        <f t="shared" si="40"/>
        <v>6.8101153504880214</v>
      </c>
      <c r="K51" s="37">
        <f t="shared" ref="K51:L51" si="41">+K41/K47</f>
        <v>6.7800914169629252</v>
      </c>
      <c r="L51" s="37">
        <f t="shared" si="41"/>
        <v>6.7899686520376168</v>
      </c>
      <c r="M51" s="37">
        <f t="shared" ref="M51:V51" si="42">+M41/M47</f>
        <v>6.6497032967032972</v>
      </c>
      <c r="N51" s="37">
        <f t="shared" si="42"/>
        <v>6.6318681318681323</v>
      </c>
      <c r="O51" s="37">
        <f t="shared" si="42"/>
        <v>6.6318681318681323</v>
      </c>
      <c r="P51" s="37">
        <f t="shared" si="42"/>
        <v>6.4365548980933598</v>
      </c>
      <c r="Q51" s="37">
        <f t="shared" si="42"/>
        <v>6.7274274809160302</v>
      </c>
      <c r="R51" s="37">
        <f t="shared" si="42"/>
        <v>6.6030534351145036</v>
      </c>
      <c r="S51" s="37">
        <f t="shared" si="42"/>
        <v>5.8651418871866294</v>
      </c>
      <c r="T51" s="37">
        <f t="shared" si="42"/>
        <v>6.1985278919688591</v>
      </c>
      <c r="U51" s="37">
        <f t="shared" si="42"/>
        <v>4.3491334412609968</v>
      </c>
      <c r="V51" s="37">
        <f t="shared" si="42"/>
        <v>4.9256274301873448</v>
      </c>
    </row>
    <row r="52" spans="1:25" s="37" customFormat="1">
      <c r="A52" s="37" t="s">
        <v>80</v>
      </c>
      <c r="B52" s="37">
        <f t="shared" ref="B52" si="43">+(B41-B44)/B47</f>
        <v>5.3315733896515303</v>
      </c>
      <c r="C52" s="37">
        <f t="shared" ref="C52:D52" si="44">+(C41-C44)/C47</f>
        <v>5.9818946007112839</v>
      </c>
      <c r="D52" s="37">
        <f t="shared" si="44"/>
        <v>5.9210989785135615</v>
      </c>
      <c r="E52" s="37">
        <f t="shared" ref="E52:F52" si="45">+(E41-E44)/E47</f>
        <v>6.2942541856925418</v>
      </c>
      <c r="F52" s="37">
        <f t="shared" si="45"/>
        <v>6.3952306489444881</v>
      </c>
      <c r="G52" s="37">
        <f t="shared" ref="G52:H52" si="46">+(G41-G44)/G47</f>
        <v>6.2528993640104753</v>
      </c>
      <c r="H52" s="37">
        <f t="shared" si="46"/>
        <v>6.1608275139664812</v>
      </c>
      <c r="I52" s="37">
        <f t="shared" ref="I52:J52" si="47">+(I41-I44)/I47</f>
        <v>6.4632786157941444</v>
      </c>
      <c r="J52" s="37">
        <f t="shared" si="47"/>
        <v>6.5394853593611355</v>
      </c>
      <c r="K52" s="37">
        <f t="shared" ref="K52:L52" si="48">+(K41-K44)/K47</f>
        <v>6.5312341289994915</v>
      </c>
      <c r="L52" s="37">
        <f t="shared" si="48"/>
        <v>6.4618599791013578</v>
      </c>
      <c r="M52" s="37">
        <f t="shared" ref="M52:V52" si="49">+(M41-M44)/M47</f>
        <v>6.3105109890109894</v>
      </c>
      <c r="N52" s="37">
        <f t="shared" si="49"/>
        <v>6.3186813186813184</v>
      </c>
      <c r="O52" s="37">
        <f t="shared" si="49"/>
        <v>6.3186813186813184</v>
      </c>
      <c r="P52" s="37">
        <f t="shared" si="49"/>
        <v>6.0946745562130182</v>
      </c>
      <c r="Q52" s="37">
        <f t="shared" si="49"/>
        <v>6.2893282442748095</v>
      </c>
      <c r="R52" s="37">
        <f t="shared" si="49"/>
        <v>6.1984732824427482</v>
      </c>
      <c r="S52" s="37">
        <f t="shared" si="49"/>
        <v>5.6256202123955426</v>
      </c>
      <c r="T52" s="37">
        <f t="shared" si="49"/>
        <v>5.8511471419057033</v>
      </c>
      <c r="U52" s="37">
        <f t="shared" si="49"/>
        <v>3.9984438336910002</v>
      </c>
      <c r="V52" s="37">
        <f t="shared" si="49"/>
        <v>4.5551926475786493</v>
      </c>
    </row>
    <row r="53" spans="1:25" s="38" customFormat="1">
      <c r="A53" s="38" t="s">
        <v>81</v>
      </c>
      <c r="B53" s="38">
        <f t="shared" ref="B53" si="50">+B48/B41</f>
        <v>3.3496028328069814E-4</v>
      </c>
      <c r="C53" s="38">
        <f t="shared" ref="C53:D53" si="51">+C48/C41</f>
        <v>1.76309656500152E-2</v>
      </c>
      <c r="D53" s="38">
        <f t="shared" si="51"/>
        <v>1.8238341968911918E-2</v>
      </c>
      <c r="E53" s="38">
        <f t="shared" ref="E53:F53" si="52">+E48/E41</f>
        <v>3.5070644142755389E-2</v>
      </c>
      <c r="F53" s="38">
        <f t="shared" si="52"/>
        <v>2.7805176170484135E-2</v>
      </c>
      <c r="G53" s="38">
        <f t="shared" ref="G53:H53" si="53">+G48/G41</f>
        <v>-2.7034092146824974E-3</v>
      </c>
      <c r="H53" s="38">
        <f t="shared" si="53"/>
        <v>-4.4637287308202161E-3</v>
      </c>
      <c r="I53" s="38">
        <f t="shared" ref="I53:J53" si="54">+I48/I41</f>
        <v>-2.8707721411729312E-2</v>
      </c>
      <c r="J53" s="38">
        <f t="shared" si="54"/>
        <v>-3.2556351791530949E-2</v>
      </c>
      <c r="K53" s="38">
        <f t="shared" ref="K53:L53" si="55">+K48/K41</f>
        <v>-2.997078651685393E-2</v>
      </c>
      <c r="L53" s="38">
        <f t="shared" si="55"/>
        <v>-2.5183902739304403E-2</v>
      </c>
      <c r="M53" s="38">
        <f t="shared" ref="M53:V53" si="56">+M48/M41</f>
        <v>-2.1317979980929495E-2</v>
      </c>
      <c r="N53" s="38">
        <f t="shared" si="56"/>
        <v>-1.7082021541010767E-2</v>
      </c>
      <c r="O53" s="38">
        <f t="shared" si="56"/>
        <v>-1.5621375310687656E-2</v>
      </c>
      <c r="P53" s="38">
        <f t="shared" si="56"/>
        <v>-7.456588355464761E-3</v>
      </c>
      <c r="Q53" s="38">
        <f t="shared" si="56"/>
        <v>8.051465290204278E-2</v>
      </c>
      <c r="R53" s="38">
        <f t="shared" si="56"/>
        <v>8.2031213872832368E-2</v>
      </c>
      <c r="S53" s="38">
        <f t="shared" si="56"/>
        <v>4.6652319907982853E-2</v>
      </c>
      <c r="T53" s="38">
        <f t="shared" si="56"/>
        <v>5.0644214114356094E-2</v>
      </c>
      <c r="U53" s="38">
        <f t="shared" si="56"/>
        <v>5.3178166624344964E-2</v>
      </c>
      <c r="V53" s="38">
        <f t="shared" si="56"/>
        <v>5.7026394729665725E-2</v>
      </c>
    </row>
    <row r="54" spans="1:25" s="38" customFormat="1">
      <c r="A54" s="39" t="s">
        <v>82</v>
      </c>
      <c r="B54" s="40"/>
      <c r="C54" s="40"/>
      <c r="D54" s="40"/>
      <c r="E54" s="40"/>
      <c r="F54" s="40"/>
      <c r="G54" s="40"/>
      <c r="H54" s="40"/>
      <c r="I54" s="40"/>
      <c r="J54" s="40"/>
      <c r="K54" s="40"/>
      <c r="L54" s="40"/>
      <c r="M54" s="40"/>
      <c r="N54" s="40"/>
      <c r="O54" s="40"/>
      <c r="P54" s="40"/>
      <c r="Q54" s="40"/>
      <c r="R54" s="40"/>
      <c r="S54" s="40"/>
      <c r="T54" s="40"/>
      <c r="U54" s="40"/>
      <c r="V54" s="40"/>
      <c r="W54" s="39"/>
      <c r="X54" s="39"/>
      <c r="Y54" s="39"/>
    </row>
    <row r="55" spans="1:25" s="38" customFormat="1">
      <c r="A55" s="38" t="s">
        <v>83</v>
      </c>
      <c r="B55" s="41">
        <f t="shared" ref="B55" si="57">IF(B42=0,IF(B54="","","*"&amp;TEXT(B54,"0.0x")),(B41+B42-B44)/B47)</f>
        <v>8.5601900739176333</v>
      </c>
      <c r="C55" s="41">
        <f t="shared" ref="C55:D55" si="58">IF(C42=0,IF(C54="","","*"&amp;TEXT(C54,"0.0x")),(C41+C42-C44)/C47)</f>
        <v>9.935984481086324</v>
      </c>
      <c r="D55" s="41">
        <f t="shared" si="58"/>
        <v>10.228953856991899</v>
      </c>
      <c r="E55" s="41">
        <f t="shared" ref="E55:F55" si="59">IF(E42=0,IF(E54="","","*"&amp;TEXT(E54,"0.0x")),(E41+E42-E44)/E47)</f>
        <v>10.947983257229833</v>
      </c>
      <c r="F55" s="41">
        <f t="shared" si="59"/>
        <v>11.176309616888192</v>
      </c>
      <c r="G55" s="41">
        <f t="shared" ref="G55:H55" si="60">IF(G42=0,IF(G54="","","*"&amp;TEXT(G54,"0.0x")),(G41+G42-G44)/G47)</f>
        <v>10.828282828282827</v>
      </c>
      <c r="H55" s="41">
        <f t="shared" si="60"/>
        <v>10.431078910614527</v>
      </c>
      <c r="I55" s="41">
        <f t="shared" ref="I55:J55" si="61">IF(I42=0,IF(I54="","","*"&amp;TEXT(I54,"0.0x")),(I41+I42-I44)/I47)</f>
        <v>9.8439352262644171</v>
      </c>
      <c r="J55" s="41">
        <f t="shared" si="61"/>
        <v>9.9201419698314108</v>
      </c>
      <c r="K55" s="41">
        <f t="shared" ref="K55:L55" si="62">IF(K42=0,IF(K54="","","*"&amp;TEXT(K54,"0.0x")),(K41+K42-K44)/K47)</f>
        <v>9.9085830370746564</v>
      </c>
      <c r="L55" s="41">
        <f t="shared" si="62"/>
        <v>9.8317659352142108</v>
      </c>
      <c r="M55" s="41">
        <f t="shared" ref="M55:V55" si="63">IF(M42=0,IF(M54="","","*"&amp;TEXT(M54,"0.0x")),(M41+M42-M44)/M47)</f>
        <v>9.8544670329670332</v>
      </c>
      <c r="N55" s="41">
        <f t="shared" si="63"/>
        <v>9.8626373626373631</v>
      </c>
      <c r="O55" s="41">
        <f t="shared" si="63"/>
        <v>9.8626373626373631</v>
      </c>
      <c r="P55" s="41">
        <f t="shared" si="63"/>
        <v>9.9408284023668649</v>
      </c>
      <c r="Q55" s="41">
        <f t="shared" si="63"/>
        <v>10.701541984732824</v>
      </c>
      <c r="R55" s="41">
        <f t="shared" si="63"/>
        <v>10.610687022900763</v>
      </c>
      <c r="S55" s="41">
        <f t="shared" si="63"/>
        <v>10.195606284818941</v>
      </c>
      <c r="T55" s="41">
        <f t="shared" si="63"/>
        <v>10.673965964678596</v>
      </c>
      <c r="U55" s="41">
        <f t="shared" si="63"/>
        <v>9.2693297190115835</v>
      </c>
      <c r="V55" s="41">
        <f t="shared" si="63"/>
        <v>10.493686815129021</v>
      </c>
      <c r="W55" s="41" t="str">
        <f>IF(W42=0,IF(W54="","",CONCATENATE("* ",W54,"x")),(W41+W42-W44)/W47)</f>
        <v/>
      </c>
      <c r="X55" s="41" t="str">
        <f>IF(X42=0,IF(X54="","",CONCATENATE("* ",X54,"x")),(X41+X42-X44)/X47)</f>
        <v/>
      </c>
      <c r="Y55" s="41" t="str">
        <f>IF(Y42=0,IF(Y54="","",CONCATENATE("* ",Y54,"x")),(Y41+Y42-Y44)/Y47)</f>
        <v/>
      </c>
    </row>
    <row r="56" spans="1:25">
      <c r="V56" s="42"/>
    </row>
    <row r="57" spans="1:25" ht="80.25" customHeight="1">
      <c r="A57" s="43" t="s">
        <v>84</v>
      </c>
      <c r="B57" s="44" t="s">
        <v>570</v>
      </c>
      <c r="C57" s="44" t="s">
        <v>570</v>
      </c>
      <c r="D57" s="44" t="s">
        <v>570</v>
      </c>
      <c r="E57" s="44" t="s">
        <v>570</v>
      </c>
      <c r="F57" s="44" t="s">
        <v>570</v>
      </c>
      <c r="G57" s="44" t="s">
        <v>570</v>
      </c>
      <c r="H57" s="44" t="s">
        <v>551</v>
      </c>
      <c r="I57" s="44" t="s">
        <v>516</v>
      </c>
      <c r="J57" s="44" t="s">
        <v>515</v>
      </c>
      <c r="K57" s="44" t="s">
        <v>479</v>
      </c>
      <c r="L57" s="44" t="s">
        <v>424</v>
      </c>
      <c r="M57" s="44"/>
      <c r="N57" s="44" t="s">
        <v>90</v>
      </c>
      <c r="O57" s="44" t="s">
        <v>294</v>
      </c>
      <c r="P57" s="44" t="s">
        <v>239</v>
      </c>
      <c r="Q57" s="44" t="s">
        <v>167</v>
      </c>
      <c r="R57" s="44" t="s">
        <v>167</v>
      </c>
      <c r="S57" s="44"/>
      <c r="T57" s="44"/>
      <c r="U57" s="44"/>
      <c r="V57" s="44"/>
      <c r="W57" s="44"/>
      <c r="X57" s="44"/>
      <c r="Y57" s="44"/>
    </row>
    <row r="58" spans="1:25">
      <c r="A58" s="45"/>
      <c r="B58" s="42"/>
      <c r="C58" s="42"/>
      <c r="D58" s="42"/>
      <c r="E58" s="42"/>
      <c r="F58" s="42"/>
      <c r="G58" s="42"/>
      <c r="H58" s="42"/>
      <c r="I58" s="42"/>
      <c r="J58" s="42"/>
      <c r="K58" s="42"/>
      <c r="L58" s="42"/>
      <c r="M58" s="42"/>
      <c r="N58" s="42"/>
      <c r="O58" s="42"/>
      <c r="P58" s="42"/>
      <c r="Q58" s="42"/>
      <c r="R58" s="42"/>
    </row>
    <row r="59" spans="1:25">
      <c r="A59" s="45"/>
    </row>
  </sheetData>
  <pageMargins left="0.7" right="0.7" top="0.75" bottom="0.75" header="0.3" footer="0.3"/>
  <pageSetup orientation="portrait" r:id="rId1"/>
  <ignoredErrors>
    <ignoredError sqref="K46:V54 R24:V28 I46:J47 H46 C46:D47" formulaRange="1"/>
  </ignoredError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N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ColWidth="9.109375" defaultRowHeight="13.8"/>
  <cols>
    <col min="1" max="1" width="22.6640625" style="14" customWidth="1"/>
    <col min="2" max="10" width="10.6640625" style="14" customWidth="1"/>
    <col min="11" max="11" width="9.44140625" style="14" bestFit="1" customWidth="1"/>
    <col min="12" max="16384" width="9.109375" style="14"/>
  </cols>
  <sheetData>
    <row r="2" spans="1:12">
      <c r="A2" s="13" t="s">
        <v>44</v>
      </c>
      <c r="B2" s="14" t="s">
        <v>17</v>
      </c>
    </row>
    <row r="3" spans="1:12" s="16" customFormat="1">
      <c r="A3" s="15" t="s">
        <v>45</v>
      </c>
      <c r="B3" s="16" t="s">
        <v>130</v>
      </c>
    </row>
    <row r="4" spans="1:12">
      <c r="A4" s="13" t="s">
        <v>2</v>
      </c>
      <c r="B4" s="14" t="s">
        <v>4</v>
      </c>
    </row>
    <row r="5" spans="1:12">
      <c r="A5" s="13" t="s">
        <v>46</v>
      </c>
    </row>
    <row r="6" spans="1:12">
      <c r="A6" s="13" t="s">
        <v>47</v>
      </c>
      <c r="B6" s="14">
        <v>1</v>
      </c>
    </row>
    <row r="7" spans="1:12">
      <c r="A7" s="13" t="s">
        <v>48</v>
      </c>
      <c r="B7" s="14" t="e">
        <v>#N/A</v>
      </c>
    </row>
    <row r="8" spans="1:12">
      <c r="A8" s="13" t="s">
        <v>347</v>
      </c>
      <c r="B8" s="14" t="s">
        <v>435</v>
      </c>
    </row>
    <row r="9" spans="1:12">
      <c r="A9" s="17"/>
    </row>
    <row r="10" spans="1:12">
      <c r="A10" s="17" t="s">
        <v>49</v>
      </c>
      <c r="B10" s="18">
        <v>43555</v>
      </c>
      <c r="C10" s="18">
        <v>43465</v>
      </c>
      <c r="D10" s="18">
        <v>43373</v>
      </c>
      <c r="E10" s="18">
        <v>43281</v>
      </c>
      <c r="F10" s="18">
        <f>EOMONTH(E10,-3)</f>
        <v>43190</v>
      </c>
      <c r="G10" s="18">
        <f t="shared" ref="G10:J10" si="0">EOMONTH(F10,-3)</f>
        <v>43100</v>
      </c>
      <c r="H10" s="18">
        <f t="shared" si="0"/>
        <v>43008</v>
      </c>
      <c r="I10" s="18">
        <f t="shared" si="0"/>
        <v>42916</v>
      </c>
      <c r="J10" s="18">
        <f t="shared" si="0"/>
        <v>42825</v>
      </c>
    </row>
    <row r="12" spans="1:12">
      <c r="A12" s="19" t="s">
        <v>50</v>
      </c>
      <c r="B12" s="20">
        <v>201.4</v>
      </c>
      <c r="C12" s="20">
        <f>738.7-D12-E12-F12</f>
        <v>175.2</v>
      </c>
      <c r="D12" s="20">
        <v>198.7</v>
      </c>
      <c r="E12" s="20">
        <v>168.8</v>
      </c>
      <c r="F12" s="20">
        <v>196</v>
      </c>
      <c r="G12" s="20">
        <f>720-H12-I12-J12</f>
        <v>177.49999999999997</v>
      </c>
      <c r="H12" s="20">
        <v>184.2</v>
      </c>
      <c r="I12" s="20">
        <v>168.2</v>
      </c>
      <c r="J12" s="20">
        <v>190.1</v>
      </c>
      <c r="L12" s="45"/>
    </row>
    <row r="13" spans="1:12" s="21" customFormat="1">
      <c r="A13" s="21" t="s">
        <v>51</v>
      </c>
      <c r="B13" s="21">
        <f>+B12/F12-1</f>
        <v>2.7551020408163263E-2</v>
      </c>
      <c r="C13" s="21">
        <f>+C12/G12-1</f>
        <v>-1.2957746478873156E-2</v>
      </c>
      <c r="D13" s="21">
        <f>+D12/H12-1</f>
        <v>7.871878393051035E-2</v>
      </c>
      <c r="E13" s="21">
        <f>+E12/I12-1</f>
        <v>3.5671819262783622E-3</v>
      </c>
      <c r="F13" s="21">
        <f>+F12/J12-1</f>
        <v>3.1036296685954756E-2</v>
      </c>
    </row>
    <row r="14" spans="1:12" s="24" customFormat="1">
      <c r="A14" s="22" t="s">
        <v>52</v>
      </c>
      <c r="B14" s="23" t="s">
        <v>3</v>
      </c>
      <c r="C14" s="23" t="s">
        <v>3</v>
      </c>
      <c r="D14" s="23" t="s">
        <v>3</v>
      </c>
      <c r="E14" s="23" t="s">
        <v>3</v>
      </c>
      <c r="F14" s="23" t="s">
        <v>3</v>
      </c>
      <c r="G14" s="23"/>
      <c r="H14" s="23"/>
      <c r="I14" s="22"/>
      <c r="J14" s="22"/>
    </row>
    <row r="16" spans="1:12" s="17" customFormat="1">
      <c r="A16" s="25" t="s">
        <v>53</v>
      </c>
      <c r="B16" s="26">
        <f>41.6+18</f>
        <v>59.6</v>
      </c>
      <c r="C16" s="26">
        <f>135.1+74.5+0.2+12.4-D16-E16-F16</f>
        <v>56.29999999999999</v>
      </c>
      <c r="D16" s="26">
        <f>96.9+56.5+0.1+12.4-E16-F16</f>
        <v>62.800000000000018</v>
      </c>
      <c r="E16" s="26">
        <f>53.2+37.4+0.1+12.4-F16</f>
        <v>43.29999999999999</v>
      </c>
      <c r="F16" s="26">
        <f>28.8+18.6+12.4</f>
        <v>59.800000000000004</v>
      </c>
      <c r="G16" s="26">
        <f>122.1+75.3-0.5-H16-I16-J16</f>
        <v>54.39999999999997</v>
      </c>
      <c r="H16" s="26">
        <f>86.5+56.3-0.3-I16-J16</f>
        <v>48.4</v>
      </c>
      <c r="I16" s="26">
        <f>57.4+36.7-J16</f>
        <v>41.999999999999993</v>
      </c>
      <c r="J16" s="26">
        <f>34+18.1</f>
        <v>52.1</v>
      </c>
    </row>
    <row r="17" spans="1:11" s="21" customFormat="1">
      <c r="A17" s="21" t="s">
        <v>54</v>
      </c>
      <c r="B17" s="21">
        <f>+B16/B12</f>
        <v>0.2959285004965243</v>
      </c>
      <c r="C17" s="21">
        <f>+C16/C12</f>
        <v>0.32134703196347031</v>
      </c>
      <c r="D17" s="21">
        <f>+D16/D12</f>
        <v>0.31605435329642689</v>
      </c>
      <c r="E17" s="21">
        <f>+E16/E12</f>
        <v>0.25651658767772506</v>
      </c>
      <c r="F17" s="21">
        <f t="shared" ref="F17:J17" si="1">+F16/F12</f>
        <v>0.30510204081632653</v>
      </c>
      <c r="G17" s="21">
        <f t="shared" si="1"/>
        <v>0.30647887323943651</v>
      </c>
      <c r="H17" s="21">
        <f t="shared" si="1"/>
        <v>0.26275787187839306</v>
      </c>
      <c r="I17" s="21">
        <f t="shared" si="1"/>
        <v>0.24970273483947678</v>
      </c>
      <c r="J17" s="21">
        <f t="shared" si="1"/>
        <v>0.27406628090478696</v>
      </c>
    </row>
    <row r="18" spans="1:11" s="24" customFormat="1"/>
    <row r="19" spans="1:11" s="24" customFormat="1">
      <c r="A19" s="19" t="s">
        <v>55</v>
      </c>
      <c r="B19" s="20">
        <v>0</v>
      </c>
      <c r="C19" s="20">
        <v>0</v>
      </c>
      <c r="D19" s="20">
        <v>0</v>
      </c>
      <c r="E19" s="20">
        <v>0</v>
      </c>
      <c r="F19" s="20">
        <v>0</v>
      </c>
      <c r="G19" s="20">
        <v>0</v>
      </c>
      <c r="H19" s="20">
        <v>0</v>
      </c>
      <c r="I19" s="20">
        <v>0</v>
      </c>
      <c r="J19" s="20">
        <v>0</v>
      </c>
    </row>
    <row r="20" spans="1:11" s="24" customFormat="1">
      <c r="A20" s="19" t="s">
        <v>56</v>
      </c>
      <c r="B20" s="20">
        <v>0</v>
      </c>
      <c r="C20" s="20">
        <v>0</v>
      </c>
      <c r="D20" s="20">
        <v>0</v>
      </c>
      <c r="E20" s="20">
        <v>0</v>
      </c>
      <c r="F20" s="20">
        <v>0</v>
      </c>
      <c r="G20" s="20">
        <v>0</v>
      </c>
      <c r="H20" s="20">
        <v>0</v>
      </c>
      <c r="I20" s="20">
        <v>0</v>
      </c>
      <c r="J20" s="20">
        <v>0</v>
      </c>
    </row>
    <row r="21" spans="1:11" s="24" customFormat="1">
      <c r="A21" s="19" t="s">
        <v>57</v>
      </c>
      <c r="B21" s="20">
        <v>0</v>
      </c>
      <c r="C21" s="20">
        <v>0</v>
      </c>
      <c r="D21" s="20">
        <v>0</v>
      </c>
      <c r="E21" s="20">
        <v>0</v>
      </c>
      <c r="F21" s="20">
        <v>0</v>
      </c>
      <c r="G21" s="20">
        <v>0</v>
      </c>
      <c r="H21" s="20">
        <v>0</v>
      </c>
      <c r="I21" s="20">
        <v>0</v>
      </c>
      <c r="J21" s="20">
        <v>0</v>
      </c>
    </row>
    <row r="22" spans="1:11" s="17" customFormat="1">
      <c r="A22" s="17" t="s">
        <v>58</v>
      </c>
      <c r="B22" s="27">
        <f>SUM(B16,B19:B21)</f>
        <v>59.6</v>
      </c>
      <c r="C22" s="27">
        <f>SUM(C16,C19:C21)</f>
        <v>56.29999999999999</v>
      </c>
      <c r="D22" s="27">
        <f>SUM(D16,D19:D21)</f>
        <v>62.800000000000018</v>
      </c>
      <c r="E22" s="27">
        <f>SUM(E16,E19:E21)</f>
        <v>43.29999999999999</v>
      </c>
      <c r="F22" s="27">
        <f t="shared" ref="F22:J22" si="2">SUM(F16,F19:F21)</f>
        <v>59.800000000000004</v>
      </c>
      <c r="G22" s="27">
        <f t="shared" si="2"/>
        <v>54.39999999999997</v>
      </c>
      <c r="H22" s="27">
        <f t="shared" si="2"/>
        <v>48.4</v>
      </c>
      <c r="I22" s="27">
        <f t="shared" si="2"/>
        <v>41.999999999999993</v>
      </c>
      <c r="J22" s="27">
        <f t="shared" si="2"/>
        <v>52.1</v>
      </c>
    </row>
    <row r="23" spans="1:11" s="17" customFormat="1">
      <c r="B23" s="21"/>
      <c r="C23" s="21"/>
      <c r="D23" s="21"/>
      <c r="E23" s="21"/>
      <c r="F23" s="21"/>
      <c r="G23" s="27"/>
      <c r="H23" s="27"/>
      <c r="I23" s="27"/>
      <c r="J23" s="27"/>
    </row>
    <row r="24" spans="1:11" s="17" customFormat="1">
      <c r="A24" s="17" t="s">
        <v>59</v>
      </c>
      <c r="B24" s="27">
        <f>C24+B22-F22</f>
        <v>209.10000000000002</v>
      </c>
      <c r="C24" s="27">
        <f>D24+C22-G22</f>
        <v>209.3</v>
      </c>
      <c r="D24" s="27">
        <f>E27+D22-H22</f>
        <v>207.4</v>
      </c>
      <c r="E24" s="27">
        <f>SUM(E22:H22)</f>
        <v>205.89999999999998</v>
      </c>
      <c r="F24" s="27">
        <f>SUM(F22:I22)</f>
        <v>204.59999999999997</v>
      </c>
      <c r="G24" s="27">
        <f>SUM(G22:J22)</f>
        <v>196.89999999999995</v>
      </c>
      <c r="H24" s="27"/>
      <c r="I24" s="27"/>
      <c r="J24" s="27"/>
    </row>
    <row r="25" spans="1:11" s="24" customFormat="1">
      <c r="A25" s="19" t="s">
        <v>60</v>
      </c>
      <c r="B25" s="28">
        <v>0</v>
      </c>
      <c r="C25" s="28">
        <v>0</v>
      </c>
      <c r="D25" s="28">
        <v>0</v>
      </c>
      <c r="E25" s="28">
        <f>E27-E24</f>
        <v>-12.899999999999977</v>
      </c>
      <c r="F25" s="28">
        <v>0</v>
      </c>
      <c r="G25" s="28">
        <f>G27-G24</f>
        <v>-0.89999999999994884</v>
      </c>
      <c r="H25" s="28"/>
      <c r="I25" s="28"/>
      <c r="J25" s="28"/>
      <c r="K25" s="32"/>
    </row>
    <row r="26" spans="1:11" s="24" customFormat="1">
      <c r="A26" s="19" t="s">
        <v>61</v>
      </c>
      <c r="B26" s="29">
        <v>0</v>
      </c>
      <c r="C26" s="29">
        <v>0</v>
      </c>
      <c r="D26" s="29">
        <v>0</v>
      </c>
      <c r="E26" s="29">
        <v>0</v>
      </c>
      <c r="F26" s="29">
        <v>0</v>
      </c>
      <c r="G26" s="29">
        <v>0</v>
      </c>
      <c r="H26" s="29"/>
      <c r="I26" s="29"/>
      <c r="J26" s="30"/>
    </row>
    <row r="27" spans="1:11" s="32" customFormat="1">
      <c r="A27" s="17" t="s">
        <v>62</v>
      </c>
      <c r="B27" s="27">
        <f>SUM(B24:B26)</f>
        <v>209.10000000000002</v>
      </c>
      <c r="C27" s="27">
        <f>SUM(C24:C26)</f>
        <v>209.3</v>
      </c>
      <c r="D27" s="27">
        <f>SUM(D24:D26)</f>
        <v>207.4</v>
      </c>
      <c r="E27" s="46">
        <v>193</v>
      </c>
      <c r="F27" s="27">
        <f>SUM(F24:F26)</f>
        <v>204.59999999999997</v>
      </c>
      <c r="G27" s="46">
        <v>196</v>
      </c>
      <c r="H27" s="27"/>
      <c r="I27" s="27"/>
      <c r="J27" s="31"/>
    </row>
    <row r="28" spans="1:11" s="24" customFormat="1">
      <c r="B28" s="88"/>
      <c r="C28" s="88"/>
      <c r="D28" s="88"/>
      <c r="E28" s="88"/>
      <c r="F28" s="88"/>
    </row>
    <row r="29" spans="1:11" s="17" customFormat="1">
      <c r="A29" s="17" t="s">
        <v>58</v>
      </c>
      <c r="B29" s="27">
        <f t="shared" ref="B29" si="3">B22</f>
        <v>59.6</v>
      </c>
      <c r="C29" s="27">
        <f t="shared" ref="C29:J29" si="4">C22</f>
        <v>56.29999999999999</v>
      </c>
      <c r="D29" s="27">
        <f t="shared" si="4"/>
        <v>62.800000000000018</v>
      </c>
      <c r="E29" s="27">
        <f t="shared" si="4"/>
        <v>43.29999999999999</v>
      </c>
      <c r="F29" s="27">
        <f t="shared" si="4"/>
        <v>59.800000000000004</v>
      </c>
      <c r="G29" s="27">
        <f t="shared" si="4"/>
        <v>54.39999999999997</v>
      </c>
      <c r="H29" s="27">
        <f t="shared" si="4"/>
        <v>48.4</v>
      </c>
      <c r="I29" s="27">
        <f t="shared" si="4"/>
        <v>41.999999999999993</v>
      </c>
      <c r="J29" s="27">
        <f t="shared" si="4"/>
        <v>52.1</v>
      </c>
    </row>
    <row r="30" spans="1:11" s="33" customFormat="1">
      <c r="A30" s="20" t="s">
        <v>63</v>
      </c>
      <c r="B30" s="20">
        <v>-5.9</v>
      </c>
      <c r="C30" s="20">
        <f>-22.9-D30-E30-F30</f>
        <v>-5.8999999999999986</v>
      </c>
      <c r="D30" s="20">
        <f>-17-E30-F30</f>
        <v>-5.5</v>
      </c>
      <c r="E30" s="20">
        <f>-11.5-F30</f>
        <v>-6</v>
      </c>
      <c r="F30" s="20">
        <v>-5.5</v>
      </c>
      <c r="G30" s="20">
        <f>-28.4-H30-I30-J30</f>
        <v>-6.0999999999999961</v>
      </c>
      <c r="H30" s="20">
        <f>-22.3-I30-J30</f>
        <v>-8.7000000000000011</v>
      </c>
      <c r="I30" s="20">
        <f>-13.6-J30</f>
        <v>-5.6999999999999993</v>
      </c>
      <c r="J30" s="20">
        <v>-7.9</v>
      </c>
    </row>
    <row r="31" spans="1:11" s="33" customFormat="1">
      <c r="A31" s="20" t="s">
        <v>64</v>
      </c>
      <c r="B31" s="20">
        <f>-6.1-0.9</f>
        <v>-7</v>
      </c>
      <c r="C31" s="20">
        <f>-13.1-D31-E31-F31</f>
        <v>-4.7999999999999989</v>
      </c>
      <c r="D31" s="20">
        <f>-8.3-E31-F31</f>
        <v>-5.6000000000000005</v>
      </c>
      <c r="E31" s="20">
        <f>-2.7-F31</f>
        <v>-2.7</v>
      </c>
      <c r="F31" s="20">
        <f>-3.6+3.6</f>
        <v>0</v>
      </c>
      <c r="G31" s="20">
        <f>-28.1-H31-I31-J31</f>
        <v>-5.9000000000000021</v>
      </c>
      <c r="H31" s="20">
        <f>-22.2-I31-J31</f>
        <v>4</v>
      </c>
      <c r="I31" s="20">
        <f>-26.2-J31</f>
        <v>-26.2</v>
      </c>
      <c r="J31" s="20">
        <v>0</v>
      </c>
    </row>
    <row r="32" spans="1:11" s="33" customFormat="1">
      <c r="A32" s="20" t="s">
        <v>65</v>
      </c>
      <c r="B32" s="20">
        <f>2.6-0.5+18.1+7.7-12.7-27.4+0.1+7.7-6.8-5.4</f>
        <v>-16.599999999999994</v>
      </c>
      <c r="C32" s="20">
        <f>13.5-0.3-1.3-9.2+3.8-12.7-0.4-2.4+11-D32-E32-F32</f>
        <v>12.70000000000001</v>
      </c>
      <c r="D32" s="20">
        <f>-3.3-0.2+54-4.1-1.1-58.7-0.3-1.3-3.1+7.4-E32-F32</f>
        <v>-15.300000000000008</v>
      </c>
      <c r="E32" s="20">
        <f>10.9-0.3+36.4-6.7-5.6-31.7-1.2-4.4+7.2-F32</f>
        <v>24.79999999999999</v>
      </c>
      <c r="F32" s="20">
        <f>-2.3-0.2+17.8-2.1+7.7-36.3+0.3+0.6-5.5-0.2</f>
        <v>-20.199999999999992</v>
      </c>
      <c r="G32" s="20">
        <f>14.6+10.3+6.4-23.7-48.7-17.5-1.3+4.8-5-H32-I32-J32</f>
        <v>-2.1000000000000014</v>
      </c>
      <c r="H32" s="20">
        <f>20.5+10+60-6.5-58.4-83.9-1.5+1.1+3.8-3.1-I32-J32</f>
        <v>-9.9000000000000199</v>
      </c>
      <c r="I32" s="20">
        <f>26.3+8+39.1-9.1-38-75.7-0.1+1.7+2-2.3-J32</f>
        <v>-12.09999999999998</v>
      </c>
      <c r="J32" s="20">
        <f>28.4+0.1+19.8-23.8-24.6-52.7-1.3+17.6+1.3-0.8</f>
        <v>-36.000000000000007</v>
      </c>
    </row>
    <row r="33" spans="1:14" s="33" customFormat="1">
      <c r="A33" s="20" t="s">
        <v>66</v>
      </c>
      <c r="B33" s="20">
        <v>0</v>
      </c>
      <c r="C33" s="20">
        <v>0</v>
      </c>
      <c r="D33" s="20">
        <v>0</v>
      </c>
      <c r="E33" s="20">
        <v>0</v>
      </c>
      <c r="F33" s="20">
        <v>0</v>
      </c>
      <c r="G33" s="20">
        <v>0</v>
      </c>
      <c r="H33" s="20">
        <v>0</v>
      </c>
      <c r="I33" s="20">
        <v>0</v>
      </c>
      <c r="J33" s="20">
        <v>0</v>
      </c>
    </row>
    <row r="34" spans="1:14" s="33" customFormat="1">
      <c r="A34" s="20" t="s">
        <v>57</v>
      </c>
      <c r="B34" s="29">
        <v>0</v>
      </c>
      <c r="C34" s="29">
        <v>0</v>
      </c>
      <c r="D34" s="29">
        <v>0</v>
      </c>
      <c r="E34" s="29">
        <v>0</v>
      </c>
      <c r="F34" s="29">
        <v>0</v>
      </c>
      <c r="G34" s="29">
        <v>0</v>
      </c>
      <c r="H34" s="29">
        <v>0</v>
      </c>
      <c r="I34" s="29">
        <v>0</v>
      </c>
      <c r="J34" s="29">
        <v>0</v>
      </c>
    </row>
    <row r="35" spans="1:14" s="27" customFormat="1">
      <c r="A35" s="27" t="s">
        <v>67</v>
      </c>
      <c r="B35" s="27">
        <v>29.5</v>
      </c>
      <c r="C35" s="27">
        <f>195.8-D35-E35-F35</f>
        <v>82.6</v>
      </c>
      <c r="D35" s="27">
        <f>113.2-E35-F35</f>
        <v>34.100000000000016</v>
      </c>
      <c r="E35" s="27">
        <f>79.1-F35</f>
        <v>48.499999999999993</v>
      </c>
      <c r="F35" s="27">
        <v>30.6</v>
      </c>
      <c r="G35" s="27">
        <f>135.4-H35-I35-J35</f>
        <v>36.700000000000003</v>
      </c>
      <c r="H35" s="27">
        <f>98.7-I35-J35</f>
        <v>41.2</v>
      </c>
      <c r="I35" s="27">
        <f>57.5-J35</f>
        <v>25.7</v>
      </c>
      <c r="J35" s="27">
        <v>31.8</v>
      </c>
      <c r="K35" s="33"/>
      <c r="M35" s="33"/>
      <c r="N35" s="33"/>
    </row>
    <row r="36" spans="1:14" s="33" customFormat="1">
      <c r="A36" s="20" t="s">
        <v>68</v>
      </c>
      <c r="B36" s="29">
        <v>-33.700000000000003</v>
      </c>
      <c r="C36" s="29">
        <f>-93.1-D36-E36-F36</f>
        <v>-28.099999999999994</v>
      </c>
      <c r="D36" s="29">
        <f>-65-E36-F36</f>
        <v>-20.5</v>
      </c>
      <c r="E36" s="29">
        <f>-44.5-F36</f>
        <v>-19.899999999999999</v>
      </c>
      <c r="F36" s="29">
        <v>-24.6</v>
      </c>
      <c r="G36" s="29">
        <f>-101.7-H36-I36-J36</f>
        <v>-19.300000000000004</v>
      </c>
      <c r="H36" s="29">
        <f>-82.4-I36-J36</f>
        <v>-24.800000000000004</v>
      </c>
      <c r="I36" s="29">
        <f>-57.6-J36</f>
        <v>-23.5</v>
      </c>
      <c r="J36" s="29">
        <v>-34.1</v>
      </c>
      <c r="M36" s="27"/>
    </row>
    <row r="37" spans="1:14" s="27" customFormat="1">
      <c r="A37" s="27" t="s">
        <v>69</v>
      </c>
      <c r="B37" s="27">
        <f>+B35+B36</f>
        <v>-4.2000000000000028</v>
      </c>
      <c r="C37" s="27">
        <f>+C35+C36</f>
        <v>54.5</v>
      </c>
      <c r="D37" s="27">
        <f>+D35+D36</f>
        <v>13.600000000000016</v>
      </c>
      <c r="E37" s="27">
        <f>+E35+E36</f>
        <v>28.599999999999994</v>
      </c>
      <c r="F37" s="27">
        <f t="shared" ref="F37:J37" si="5">+F35+F36</f>
        <v>6</v>
      </c>
      <c r="G37" s="27">
        <f t="shared" si="5"/>
        <v>17.399999999999999</v>
      </c>
      <c r="H37" s="27">
        <f t="shared" si="5"/>
        <v>16.399999999999999</v>
      </c>
      <c r="I37" s="27">
        <f t="shared" si="5"/>
        <v>2.1999999999999993</v>
      </c>
      <c r="J37" s="27">
        <f t="shared" si="5"/>
        <v>-2.3000000000000007</v>
      </c>
      <c r="K37" s="33"/>
    </row>
    <row r="38" spans="1:14">
      <c r="C38" s="33"/>
      <c r="D38" s="33"/>
      <c r="E38" s="33"/>
    </row>
    <row r="39" spans="1:14" s="35" customFormat="1">
      <c r="A39" s="34" t="s">
        <v>70</v>
      </c>
      <c r="B39" s="20">
        <v>0</v>
      </c>
      <c r="C39" s="20">
        <v>0</v>
      </c>
      <c r="D39" s="20">
        <v>0</v>
      </c>
      <c r="E39" s="20">
        <v>10</v>
      </c>
      <c r="F39" s="20">
        <v>10</v>
      </c>
      <c r="G39" s="20">
        <v>10</v>
      </c>
      <c r="H39" s="20"/>
      <c r="I39" s="20">
        <v>0</v>
      </c>
      <c r="J39" s="20"/>
      <c r="K39" s="111"/>
      <c r="L39" s="33"/>
    </row>
    <row r="40" spans="1:14" s="35" customFormat="1">
      <c r="A40" s="34" t="s">
        <v>71</v>
      </c>
      <c r="B40" s="20">
        <f>C40-1.1</f>
        <v>592.70000000000005</v>
      </c>
      <c r="C40" s="20">
        <f>576.1+17.7</f>
        <v>593.80000000000007</v>
      </c>
      <c r="D40" s="20">
        <f>437.2+140+17.7</f>
        <v>594.90000000000009</v>
      </c>
      <c r="E40" s="20">
        <f>438.3+140+17.7</f>
        <v>596</v>
      </c>
      <c r="F40" s="20">
        <f>438.3+140+17.7</f>
        <v>596</v>
      </c>
      <c r="G40" s="20">
        <f>440.6+200+17.8</f>
        <v>658.4</v>
      </c>
      <c r="H40" s="20"/>
      <c r="I40" s="20">
        <f>442.8+200+91.9+17.9</f>
        <v>752.59999999999991</v>
      </c>
      <c r="J40" s="20"/>
      <c r="L40" s="33"/>
    </row>
    <row r="41" spans="1:14" s="35" customFormat="1">
      <c r="A41" s="34" t="s">
        <v>72</v>
      </c>
      <c r="B41" s="20">
        <f t="shared" ref="B41:G41" si="6">B39+B40</f>
        <v>592.70000000000005</v>
      </c>
      <c r="C41" s="20">
        <f t="shared" si="6"/>
        <v>593.80000000000007</v>
      </c>
      <c r="D41" s="20">
        <f t="shared" si="6"/>
        <v>594.90000000000009</v>
      </c>
      <c r="E41" s="20">
        <f t="shared" si="6"/>
        <v>606</v>
      </c>
      <c r="F41" s="20">
        <f t="shared" si="6"/>
        <v>606</v>
      </c>
      <c r="G41" s="20">
        <f t="shared" si="6"/>
        <v>668.4</v>
      </c>
      <c r="H41" s="20"/>
      <c r="I41" s="20">
        <f>I39+I40</f>
        <v>752.59999999999991</v>
      </c>
      <c r="J41" s="20"/>
      <c r="L41" s="33"/>
    </row>
    <row r="42" spans="1:14" s="35" customFormat="1">
      <c r="A42" s="34" t="s">
        <v>73</v>
      </c>
      <c r="B42" s="36">
        <f>C42</f>
        <v>200</v>
      </c>
      <c r="C42" s="36">
        <f>D42</f>
        <v>200</v>
      </c>
      <c r="D42" s="36">
        <f>E42</f>
        <v>200</v>
      </c>
      <c r="E42" s="36">
        <v>200</v>
      </c>
      <c r="F42" s="36"/>
      <c r="G42" s="36"/>
      <c r="H42" s="36"/>
      <c r="I42" s="36"/>
      <c r="J42" s="36"/>
      <c r="L42" s="33"/>
    </row>
    <row r="43" spans="1:14">
      <c r="B43" s="35"/>
      <c r="C43" s="35"/>
      <c r="D43" s="35"/>
      <c r="E43" s="35"/>
      <c r="F43" s="35"/>
      <c r="G43" s="35"/>
    </row>
    <row r="44" spans="1:14">
      <c r="A44" s="19" t="s">
        <v>74</v>
      </c>
      <c r="B44" s="28">
        <v>18.8</v>
      </c>
      <c r="C44" s="28">
        <v>45</v>
      </c>
      <c r="D44" s="28">
        <v>10.7</v>
      </c>
      <c r="E44" s="28">
        <v>23</v>
      </c>
      <c r="F44" s="28">
        <v>1</v>
      </c>
      <c r="G44" s="28">
        <v>5.2</v>
      </c>
      <c r="H44" s="28"/>
      <c r="I44" s="28"/>
      <c r="J44" s="28"/>
    </row>
    <row r="46" spans="1:14">
      <c r="A46" s="14" t="s">
        <v>75</v>
      </c>
      <c r="B46" s="33">
        <f t="shared" ref="B46:G46" si="7">SUM(B12:E12)</f>
        <v>744.09999999999991</v>
      </c>
      <c r="C46" s="33">
        <f t="shared" si="7"/>
        <v>738.7</v>
      </c>
      <c r="D46" s="33">
        <f t="shared" si="7"/>
        <v>741</v>
      </c>
      <c r="E46" s="33">
        <f t="shared" si="7"/>
        <v>726.5</v>
      </c>
      <c r="F46" s="33">
        <f t="shared" si="7"/>
        <v>725.90000000000009</v>
      </c>
      <c r="G46" s="33">
        <f t="shared" si="7"/>
        <v>719.99999999999989</v>
      </c>
      <c r="H46" s="33"/>
      <c r="I46" s="33"/>
    </row>
    <row r="47" spans="1:14">
      <c r="A47" s="14" t="s">
        <v>76</v>
      </c>
      <c r="B47" s="33">
        <f t="shared" ref="B47:G47" si="8">+B27</f>
        <v>209.10000000000002</v>
      </c>
      <c r="C47" s="33">
        <f t="shared" si="8"/>
        <v>209.3</v>
      </c>
      <c r="D47" s="33">
        <f t="shared" si="8"/>
        <v>207.4</v>
      </c>
      <c r="E47" s="33">
        <f t="shared" si="8"/>
        <v>193</v>
      </c>
      <c r="F47" s="33">
        <f t="shared" si="8"/>
        <v>204.59999999999997</v>
      </c>
      <c r="G47" s="33">
        <f t="shared" si="8"/>
        <v>196</v>
      </c>
      <c r="H47" s="33"/>
      <c r="I47" s="33"/>
    </row>
    <row r="48" spans="1:14">
      <c r="A48" s="14" t="s">
        <v>77</v>
      </c>
      <c r="B48" s="33">
        <f t="shared" ref="B48:G48" si="9">SUM(B37:E37)</f>
        <v>92.5</v>
      </c>
      <c r="C48" s="33">
        <f t="shared" si="9"/>
        <v>102.70000000000002</v>
      </c>
      <c r="D48" s="33">
        <f t="shared" si="9"/>
        <v>65.600000000000009</v>
      </c>
      <c r="E48" s="33">
        <f t="shared" si="9"/>
        <v>68.399999999999991</v>
      </c>
      <c r="F48" s="33">
        <f t="shared" si="9"/>
        <v>42</v>
      </c>
      <c r="G48" s="33">
        <f t="shared" si="9"/>
        <v>33.700000000000003</v>
      </c>
      <c r="H48" s="33"/>
      <c r="I48" s="33"/>
    </row>
    <row r="50" spans="1:10" s="37" customFormat="1">
      <c r="A50" s="37" t="s">
        <v>78</v>
      </c>
      <c r="B50" s="37">
        <f t="shared" ref="B50:G50" si="10">+SUM(B39:B40)/B47</f>
        <v>2.8345289335246293</v>
      </c>
      <c r="C50" s="37">
        <f t="shared" si="10"/>
        <v>2.8370759675107502</v>
      </c>
      <c r="D50" s="37">
        <f t="shared" si="10"/>
        <v>2.8683702989392481</v>
      </c>
      <c r="E50" s="37">
        <f t="shared" si="10"/>
        <v>3.1398963730569949</v>
      </c>
      <c r="F50" s="37">
        <f t="shared" si="10"/>
        <v>2.9618768328445753</v>
      </c>
      <c r="G50" s="37">
        <f t="shared" si="10"/>
        <v>3.4102040816326529</v>
      </c>
    </row>
    <row r="51" spans="1:10" s="37" customFormat="1">
      <c r="A51" s="37" t="s">
        <v>79</v>
      </c>
      <c r="B51" s="37">
        <f t="shared" ref="B51:G51" si="11">+B41/B47</f>
        <v>2.8345289335246293</v>
      </c>
      <c r="C51" s="37">
        <f t="shared" si="11"/>
        <v>2.8370759675107502</v>
      </c>
      <c r="D51" s="37">
        <f t="shared" si="11"/>
        <v>2.8683702989392481</v>
      </c>
      <c r="E51" s="37">
        <f t="shared" si="11"/>
        <v>3.1398963730569949</v>
      </c>
      <c r="F51" s="37">
        <f t="shared" si="11"/>
        <v>2.9618768328445753</v>
      </c>
      <c r="G51" s="37">
        <f t="shared" si="11"/>
        <v>3.4102040816326529</v>
      </c>
    </row>
    <row r="52" spans="1:10" s="37" customFormat="1">
      <c r="A52" s="37" t="s">
        <v>80</v>
      </c>
      <c r="B52" s="37">
        <f t="shared" ref="B52:G52" si="12">+(B41-B44)/B47</f>
        <v>2.7446197991391679</v>
      </c>
      <c r="C52" s="37">
        <f t="shared" si="12"/>
        <v>2.6220735785953178</v>
      </c>
      <c r="D52" s="37">
        <f t="shared" si="12"/>
        <v>2.8167791706846677</v>
      </c>
      <c r="E52" s="37">
        <f t="shared" si="12"/>
        <v>3.0207253886010363</v>
      </c>
      <c r="F52" s="37">
        <f t="shared" si="12"/>
        <v>2.9569892473118284</v>
      </c>
      <c r="G52" s="37">
        <f t="shared" si="12"/>
        <v>3.3836734693877548</v>
      </c>
    </row>
    <row r="53" spans="1:10" s="38" customFormat="1">
      <c r="A53" s="38" t="s">
        <v>81</v>
      </c>
      <c r="B53" s="38">
        <f t="shared" ref="B53:G53" si="13">+B48/B41</f>
        <v>0.15606546313480679</v>
      </c>
      <c r="C53" s="38">
        <f t="shared" si="13"/>
        <v>0.17295385651734591</v>
      </c>
      <c r="D53" s="38">
        <f t="shared" si="13"/>
        <v>0.11027063371995294</v>
      </c>
      <c r="E53" s="38">
        <f t="shared" si="13"/>
        <v>0.11287128712871286</v>
      </c>
      <c r="F53" s="38">
        <f t="shared" si="13"/>
        <v>6.9306930693069313E-2</v>
      </c>
      <c r="G53" s="38">
        <f t="shared" si="13"/>
        <v>5.0418910831837228E-2</v>
      </c>
    </row>
    <row r="54" spans="1:10" s="38" customFormat="1">
      <c r="A54" s="39" t="s">
        <v>82</v>
      </c>
      <c r="B54" s="40"/>
      <c r="C54" s="40"/>
      <c r="D54" s="40"/>
      <c r="E54" s="40"/>
      <c r="F54" s="40"/>
      <c r="G54" s="40"/>
      <c r="H54" s="40"/>
      <c r="I54" s="40"/>
      <c r="J54" s="39"/>
    </row>
    <row r="55" spans="1:10" s="38" customFormat="1">
      <c r="A55" s="38" t="s">
        <v>83</v>
      </c>
      <c r="B55" s="41">
        <f t="shared" ref="B55:C55" si="14">IF(B42=0,IF(B54="","","*"&amp;TEXT(B54,"0.0x")),(B41+B42-B44)/B47)</f>
        <v>3.7010999521759924</v>
      </c>
      <c r="C55" s="41">
        <f t="shared" si="14"/>
        <v>3.5776397515527951</v>
      </c>
      <c r="D55" s="41">
        <f t="shared" ref="D55:I55" si="15">IF(D42=0,IF(D54="","","*"&amp;TEXT(D54,"0.0x")),(D41+D42-D44)/D47)</f>
        <v>3.7810993249758922</v>
      </c>
      <c r="E55" s="41">
        <f t="shared" si="15"/>
        <v>4.0569948186528499</v>
      </c>
      <c r="F55" s="41" t="str">
        <f t="shared" si="15"/>
        <v/>
      </c>
      <c r="G55" s="41" t="str">
        <f t="shared" si="15"/>
        <v/>
      </c>
      <c r="H55" s="41" t="str">
        <f t="shared" si="15"/>
        <v/>
      </c>
      <c r="I55" s="41" t="str">
        <f t="shared" si="15"/>
        <v/>
      </c>
      <c r="J55" s="41" t="str">
        <f>IF(J42=0,IF(J54="","",CONCATENATE("* ",J54,"x")),(J41+J42-J44)/J47)</f>
        <v/>
      </c>
    </row>
    <row r="56" spans="1:10">
      <c r="I56" s="42"/>
    </row>
    <row r="57" spans="1:10" ht="80.25" customHeight="1">
      <c r="A57" s="43" t="s">
        <v>84</v>
      </c>
      <c r="B57" s="44"/>
      <c r="C57" s="44"/>
      <c r="D57" s="44"/>
      <c r="E57" s="44" t="s">
        <v>268</v>
      </c>
      <c r="F57" s="44"/>
      <c r="G57" s="44"/>
      <c r="H57" s="44"/>
      <c r="I57" s="44"/>
      <c r="J57" s="44"/>
    </row>
    <row r="58" spans="1:10">
      <c r="A58" s="45"/>
      <c r="B58" s="42"/>
      <c r="C58" s="42"/>
      <c r="D58" s="42"/>
      <c r="E58" s="42"/>
    </row>
    <row r="59" spans="1:10">
      <c r="A59" s="45"/>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Y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22" width="10.6640625" style="14" customWidth="1"/>
    <col min="23" max="16384" width="9.109375" style="14"/>
  </cols>
  <sheetData>
    <row r="2" spans="1:25">
      <c r="A2" s="13" t="s">
        <v>44</v>
      </c>
      <c r="B2" s="14" t="s">
        <v>407</v>
      </c>
    </row>
    <row r="3" spans="1:25" s="16" customFormat="1">
      <c r="A3" s="15" t="s">
        <v>45</v>
      </c>
      <c r="B3" s="16" t="s">
        <v>142</v>
      </c>
    </row>
    <row r="4" spans="1:25">
      <c r="A4" s="13" t="s">
        <v>2</v>
      </c>
      <c r="B4" s="14" t="s">
        <v>4</v>
      </c>
    </row>
    <row r="5" spans="1:25">
      <c r="A5" s="13" t="s">
        <v>46</v>
      </c>
    </row>
    <row r="6" spans="1:25">
      <c r="A6" s="13" t="s">
        <v>47</v>
      </c>
      <c r="B6" s="14">
        <v>4</v>
      </c>
    </row>
    <row r="7" spans="1:25">
      <c r="A7" s="13" t="s">
        <v>48</v>
      </c>
      <c r="B7" s="14" t="s">
        <v>237</v>
      </c>
    </row>
    <row r="8" spans="1:25">
      <c r="A8" s="13" t="s">
        <v>347</v>
      </c>
      <c r="B8" s="14" t="s">
        <v>390</v>
      </c>
    </row>
    <row r="9" spans="1:25">
      <c r="A9" s="17"/>
    </row>
    <row r="10" spans="1:25">
      <c r="A10" s="17" t="s">
        <v>49</v>
      </c>
      <c r="B10" s="18">
        <v>44286</v>
      </c>
      <c r="C10" s="18">
        <v>44196</v>
      </c>
      <c r="D10" s="18">
        <v>44104</v>
      </c>
      <c r="E10" s="18">
        <v>44012</v>
      </c>
      <c r="F10" s="18">
        <v>43921</v>
      </c>
      <c r="G10" s="18">
        <v>43830</v>
      </c>
      <c r="H10" s="18">
        <v>43738</v>
      </c>
      <c r="I10" s="18">
        <v>43646</v>
      </c>
      <c r="J10" s="18">
        <v>43555</v>
      </c>
      <c r="K10" s="18">
        <v>43465</v>
      </c>
      <c r="L10" s="18">
        <v>43373</v>
      </c>
      <c r="M10" s="18">
        <v>43281</v>
      </c>
      <c r="N10" s="18">
        <v>43190</v>
      </c>
      <c r="O10" s="18">
        <v>43100</v>
      </c>
      <c r="P10" s="18">
        <v>43008</v>
      </c>
      <c r="Q10" s="18">
        <v>42916</v>
      </c>
      <c r="R10" s="18">
        <v>42825</v>
      </c>
      <c r="S10" s="18">
        <v>42735</v>
      </c>
      <c r="T10" s="18">
        <v>42643</v>
      </c>
      <c r="U10" s="18">
        <v>42551</v>
      </c>
      <c r="V10" s="18">
        <v>42460</v>
      </c>
    </row>
    <row r="12" spans="1:25">
      <c r="A12" s="19" t="s">
        <v>50</v>
      </c>
      <c r="B12" s="20">
        <v>245.61600000000001</v>
      </c>
      <c r="C12" s="20">
        <f>1005.266-D12-E12-F12</f>
        <v>232.68900000000002</v>
      </c>
      <c r="D12" s="20">
        <v>220.19300000000001</v>
      </c>
      <c r="E12" s="20">
        <v>251.40100000000001</v>
      </c>
      <c r="F12" s="20">
        <v>300.983</v>
      </c>
      <c r="G12" s="20">
        <f>1267.189-H12-I12-J12</f>
        <v>295.46800000000007</v>
      </c>
      <c r="H12" s="20">
        <v>327.178</v>
      </c>
      <c r="I12" s="20">
        <v>333.31799999999998</v>
      </c>
      <c r="J12" s="20">
        <v>311.22500000000002</v>
      </c>
      <c r="K12" s="20">
        <f>1216.197-L12-M12-N12</f>
        <v>311.00599999999991</v>
      </c>
      <c r="L12" s="20">
        <v>308.02800000000002</v>
      </c>
      <c r="M12" s="20">
        <v>311.22699999999998</v>
      </c>
      <c r="N12" s="20">
        <v>285.93599999999998</v>
      </c>
      <c r="O12" s="20">
        <f>1006.782-P12-Q12-R12</f>
        <v>265.62700000000012</v>
      </c>
      <c r="P12" s="20">
        <v>251.93</v>
      </c>
      <c r="Q12" s="20">
        <v>250.69800000000001</v>
      </c>
      <c r="R12" s="20">
        <v>238.52699999999999</v>
      </c>
      <c r="S12" s="20">
        <f>962.1-V12-U12-T12</f>
        <v>222.29900000000001</v>
      </c>
      <c r="T12" s="20">
        <v>230.02500000000001</v>
      </c>
      <c r="U12" s="20">
        <v>256.21499999999997</v>
      </c>
      <c r="V12" s="20">
        <v>253.56100000000001</v>
      </c>
      <c r="X12" s="90"/>
      <c r="Y12" s="90"/>
    </row>
    <row r="13" spans="1:25" s="21" customFormat="1">
      <c r="A13" s="21" t="s">
        <v>51</v>
      </c>
      <c r="B13" s="21">
        <f t="shared" ref="B13:R13" si="0">+B12/F12-1</f>
        <v>-0.18395391101823022</v>
      </c>
      <c r="C13" s="21">
        <f t="shared" si="0"/>
        <v>-0.2124730935329715</v>
      </c>
      <c r="D13" s="21">
        <f t="shared" si="0"/>
        <v>-0.32699325749286312</v>
      </c>
      <c r="E13" s="21">
        <f t="shared" si="0"/>
        <v>-0.24576230506603292</v>
      </c>
      <c r="F13" s="21">
        <f t="shared" si="0"/>
        <v>-3.2908667362840482E-2</v>
      </c>
      <c r="G13" s="21">
        <f t="shared" si="0"/>
        <v>-4.9960450923775879E-2</v>
      </c>
      <c r="H13" s="21">
        <f t="shared" si="0"/>
        <v>6.2169672886880356E-2</v>
      </c>
      <c r="I13" s="21">
        <f t="shared" si="0"/>
        <v>7.0980345535573752E-2</v>
      </c>
      <c r="J13" s="21">
        <f t="shared" si="0"/>
        <v>8.8442868334172919E-2</v>
      </c>
      <c r="K13" s="21">
        <f t="shared" si="0"/>
        <v>0.17083730193090219</v>
      </c>
      <c r="L13" s="21">
        <f t="shared" si="0"/>
        <v>0.22267296471242015</v>
      </c>
      <c r="M13" s="21">
        <f t="shared" si="0"/>
        <v>0.24144189423130613</v>
      </c>
      <c r="N13" s="21">
        <f t="shared" si="0"/>
        <v>0.19875737337911437</v>
      </c>
      <c r="O13" s="21">
        <f t="shared" si="0"/>
        <v>0.1949086590582958</v>
      </c>
      <c r="P13" s="21">
        <f t="shared" si="0"/>
        <v>9.5228779480491355E-2</v>
      </c>
      <c r="Q13" s="21">
        <f t="shared" si="0"/>
        <v>-2.1532697148878732E-2</v>
      </c>
      <c r="R13" s="21">
        <f t="shared" si="0"/>
        <v>-5.9291452549879553E-2</v>
      </c>
      <c r="X13" s="87"/>
    </row>
    <row r="14" spans="1:25"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t="s">
        <v>3</v>
      </c>
      <c r="P14" s="23" t="s">
        <v>3</v>
      </c>
      <c r="Q14" s="23" t="s">
        <v>3</v>
      </c>
      <c r="R14" s="23" t="s">
        <v>3</v>
      </c>
      <c r="S14" s="23"/>
      <c r="T14" s="23"/>
      <c r="U14" s="22"/>
      <c r="V14" s="22"/>
    </row>
    <row r="15" spans="1:25">
      <c r="L15" s="48"/>
      <c r="M15" s="48"/>
    </row>
    <row r="16" spans="1:25" s="17" customFormat="1">
      <c r="A16" s="25" t="s">
        <v>53</v>
      </c>
      <c r="B16" s="26">
        <v>13.930999999999999</v>
      </c>
      <c r="C16" s="26">
        <v>13.618</v>
      </c>
      <c r="D16" s="26">
        <v>13.705</v>
      </c>
      <c r="E16" s="26">
        <v>13.789</v>
      </c>
      <c r="F16" s="26">
        <v>18.760000000000002</v>
      </c>
      <c r="G16" s="26">
        <v>13.97</v>
      </c>
      <c r="H16" s="26">
        <v>28.582000000000001</v>
      </c>
      <c r="I16" s="26">
        <v>29.106000000000002</v>
      </c>
      <c r="J16" s="26">
        <v>21.696999999999999</v>
      </c>
      <c r="K16" s="26">
        <f>98.513-L16-M16-N16</f>
        <v>27.317000000000004</v>
      </c>
      <c r="L16" s="26">
        <v>23.789000000000001</v>
      </c>
      <c r="M16" s="26">
        <v>28.728999999999999</v>
      </c>
      <c r="N16" s="26">
        <v>18.678000000000001</v>
      </c>
      <c r="O16" s="26">
        <f>64.017-P16-Q16-R16</f>
        <v>16.121999999999989</v>
      </c>
      <c r="P16" s="26">
        <v>13.965999999999999</v>
      </c>
      <c r="Q16" s="26">
        <v>17.693000000000001</v>
      </c>
      <c r="R16" s="26">
        <v>16.236000000000001</v>
      </c>
      <c r="S16" s="26">
        <f>52.9140000000001-V16-U16-T16</f>
        <v>16.05400000000008</v>
      </c>
      <c r="T16" s="26">
        <v>13.598000000000001</v>
      </c>
      <c r="U16" s="26">
        <v>16.952000000000002</v>
      </c>
      <c r="V16" s="26">
        <v>6.3100000000000183</v>
      </c>
    </row>
    <row r="17" spans="1:25" s="21" customFormat="1">
      <c r="A17" s="21" t="s">
        <v>54</v>
      </c>
      <c r="B17" s="21">
        <f t="shared" ref="B17:C17" si="1">+B16/B12</f>
        <v>5.6718617679629983E-2</v>
      </c>
      <c r="C17" s="21">
        <f t="shared" si="1"/>
        <v>5.8524468281697883E-2</v>
      </c>
      <c r="D17" s="21">
        <f t="shared" ref="D17:E17" si="2">+D16/D12</f>
        <v>6.2240852343171671E-2</v>
      </c>
      <c r="E17" s="21">
        <f t="shared" si="2"/>
        <v>5.4848628287079204E-2</v>
      </c>
      <c r="F17" s="21">
        <f t="shared" ref="F17:G17" si="3">+F16/F12</f>
        <v>6.232910164361443E-2</v>
      </c>
      <c r="G17" s="21">
        <f t="shared" si="3"/>
        <v>4.7280923822545916E-2</v>
      </c>
      <c r="H17" s="21">
        <f t="shared" ref="H17:I17" si="4">+H16/H12</f>
        <v>8.7359174516623977E-2</v>
      </c>
      <c r="I17" s="21">
        <f t="shared" si="4"/>
        <v>8.7322016812773393E-2</v>
      </c>
      <c r="J17" s="21">
        <f t="shared" ref="J17:K17" si="5">+J16/J12</f>
        <v>6.9714836533054853E-2</v>
      </c>
      <c r="K17" s="21">
        <f t="shared" si="5"/>
        <v>8.7834318308971565E-2</v>
      </c>
      <c r="L17" s="21">
        <f t="shared" ref="L17:V17" si="6">+L16/L12</f>
        <v>7.7229992078642201E-2</v>
      </c>
      <c r="M17" s="21">
        <f t="shared" si="6"/>
        <v>9.2308829246819851E-2</v>
      </c>
      <c r="N17" s="21">
        <f t="shared" si="6"/>
        <v>6.5322309887527283E-2</v>
      </c>
      <c r="O17" s="21">
        <f t="shared" si="6"/>
        <v>6.069413124418821E-2</v>
      </c>
      <c r="P17" s="21">
        <f t="shared" si="6"/>
        <v>5.543603381891795E-2</v>
      </c>
      <c r="Q17" s="21">
        <f t="shared" si="6"/>
        <v>7.0574954726403891E-2</v>
      </c>
      <c r="R17" s="21">
        <f t="shared" si="6"/>
        <v>6.8067765913292846E-2</v>
      </c>
      <c r="S17" s="21">
        <f t="shared" si="6"/>
        <v>7.2218048664186879E-2</v>
      </c>
      <c r="T17" s="21">
        <f t="shared" si="6"/>
        <v>5.9115313552874686E-2</v>
      </c>
      <c r="U17" s="21">
        <f t="shared" si="6"/>
        <v>6.6163183264055597E-2</v>
      </c>
      <c r="V17" s="21">
        <f t="shared" si="6"/>
        <v>2.4885530503508103E-2</v>
      </c>
    </row>
    <row r="18" spans="1:25" s="24" customFormat="1"/>
    <row r="19" spans="1:25"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row>
    <row r="20" spans="1:25"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row>
    <row r="21" spans="1:25"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X21" s="105"/>
      <c r="Y21" s="105"/>
    </row>
    <row r="22" spans="1:25" s="17" customFormat="1">
      <c r="A22" s="17" t="s">
        <v>58</v>
      </c>
      <c r="B22" s="27">
        <f t="shared" ref="B22:C22" si="7">SUM(B16,B19:B21)</f>
        <v>13.930999999999999</v>
      </c>
      <c r="C22" s="27">
        <f t="shared" si="7"/>
        <v>13.618</v>
      </c>
      <c r="D22" s="27">
        <f t="shared" ref="D22:E22" si="8">SUM(D16,D19:D21)</f>
        <v>13.705</v>
      </c>
      <c r="E22" s="27">
        <f t="shared" si="8"/>
        <v>13.789</v>
      </c>
      <c r="F22" s="27">
        <f t="shared" ref="F22:G22" si="9">SUM(F16,F19:F21)</f>
        <v>18.760000000000002</v>
      </c>
      <c r="G22" s="27">
        <f t="shared" si="9"/>
        <v>13.97</v>
      </c>
      <c r="H22" s="27">
        <f t="shared" ref="H22:I22" si="10">SUM(H16,H19:H21)</f>
        <v>28.582000000000001</v>
      </c>
      <c r="I22" s="27">
        <f t="shared" si="10"/>
        <v>29.106000000000002</v>
      </c>
      <c r="J22" s="27">
        <f t="shared" ref="J22:K22" si="11">SUM(J16,J19:J21)</f>
        <v>21.696999999999999</v>
      </c>
      <c r="K22" s="27">
        <f t="shared" si="11"/>
        <v>27.317000000000004</v>
      </c>
      <c r="L22" s="27">
        <f t="shared" ref="L22:V22" si="12">SUM(L16,L19:L21)</f>
        <v>23.789000000000001</v>
      </c>
      <c r="M22" s="27">
        <f t="shared" si="12"/>
        <v>28.728999999999999</v>
      </c>
      <c r="N22" s="27">
        <f t="shared" si="12"/>
        <v>18.678000000000001</v>
      </c>
      <c r="O22" s="27">
        <f t="shared" si="12"/>
        <v>16.121999999999989</v>
      </c>
      <c r="P22" s="27">
        <f t="shared" si="12"/>
        <v>13.965999999999999</v>
      </c>
      <c r="Q22" s="27">
        <f t="shared" si="12"/>
        <v>17.693000000000001</v>
      </c>
      <c r="R22" s="27">
        <f t="shared" si="12"/>
        <v>16.236000000000001</v>
      </c>
      <c r="S22" s="27">
        <f t="shared" si="12"/>
        <v>16.05400000000008</v>
      </c>
      <c r="T22" s="27">
        <f t="shared" si="12"/>
        <v>13.598000000000001</v>
      </c>
      <c r="U22" s="27">
        <f t="shared" si="12"/>
        <v>16.952000000000002</v>
      </c>
      <c r="V22" s="27">
        <f t="shared" si="12"/>
        <v>6.3100000000000183</v>
      </c>
      <c r="X22" s="87"/>
    </row>
    <row r="23" spans="1:25" s="17" customFormat="1">
      <c r="B23" s="21"/>
      <c r="C23" s="21"/>
      <c r="D23" s="21"/>
      <c r="E23" s="21"/>
      <c r="F23" s="21"/>
      <c r="G23" s="21"/>
      <c r="H23" s="21"/>
      <c r="I23" s="21"/>
      <c r="J23" s="21"/>
      <c r="K23" s="21"/>
      <c r="L23" s="21"/>
      <c r="M23" s="27"/>
      <c r="N23" s="27"/>
      <c r="O23" s="27"/>
      <c r="P23" s="27"/>
      <c r="Q23" s="27"/>
      <c r="R23" s="27"/>
      <c r="S23" s="27"/>
      <c r="T23" s="27"/>
      <c r="U23" s="27"/>
      <c r="V23" s="27"/>
    </row>
    <row r="24" spans="1:25" s="17" customFormat="1">
      <c r="A24" s="17" t="s">
        <v>59</v>
      </c>
      <c r="B24" s="27">
        <f t="shared" ref="B24:S24" si="13">SUM(B22:E22)</f>
        <v>55.042999999999999</v>
      </c>
      <c r="C24" s="27">
        <f t="shared" si="13"/>
        <v>59.872</v>
      </c>
      <c r="D24" s="27">
        <f t="shared" si="13"/>
        <v>60.224000000000004</v>
      </c>
      <c r="E24" s="27">
        <f t="shared" si="13"/>
        <v>75.100999999999999</v>
      </c>
      <c r="F24" s="27">
        <f t="shared" si="13"/>
        <v>90.418000000000006</v>
      </c>
      <c r="G24" s="27">
        <f t="shared" si="13"/>
        <v>93.355000000000004</v>
      </c>
      <c r="H24" s="27">
        <f t="shared" si="13"/>
        <v>106.70200000000001</v>
      </c>
      <c r="I24" s="27">
        <f t="shared" si="13"/>
        <v>101.90900000000001</v>
      </c>
      <c r="J24" s="27">
        <f t="shared" si="13"/>
        <v>101.532</v>
      </c>
      <c r="K24" s="27">
        <f t="shared" si="13"/>
        <v>98.513000000000005</v>
      </c>
      <c r="L24" s="27">
        <f t="shared" si="13"/>
        <v>87.317999999999984</v>
      </c>
      <c r="M24" s="27">
        <f t="shared" si="13"/>
        <v>77.494999999999976</v>
      </c>
      <c r="N24" s="27">
        <f t="shared" si="13"/>
        <v>66.458999999999989</v>
      </c>
      <c r="O24" s="27">
        <f t="shared" si="13"/>
        <v>64.016999999999996</v>
      </c>
      <c r="P24" s="27">
        <f t="shared" si="13"/>
        <v>63.949000000000076</v>
      </c>
      <c r="Q24" s="27">
        <f t="shared" si="13"/>
        <v>63.581000000000081</v>
      </c>
      <c r="R24" s="27">
        <f t="shared" si="13"/>
        <v>62.840000000000074</v>
      </c>
      <c r="S24" s="27">
        <f t="shared" si="13"/>
        <v>52.914000000000101</v>
      </c>
      <c r="T24" s="27"/>
      <c r="U24" s="27"/>
      <c r="V24" s="27"/>
    </row>
    <row r="25" spans="1:25" s="24" customFormat="1">
      <c r="A25" s="19" t="s">
        <v>60</v>
      </c>
      <c r="B25" s="28">
        <v>0</v>
      </c>
      <c r="C25" s="28">
        <v>0</v>
      </c>
      <c r="D25" s="28">
        <v>0</v>
      </c>
      <c r="E25" s="28">
        <v>0</v>
      </c>
      <c r="F25" s="28">
        <v>0</v>
      </c>
      <c r="G25" s="28">
        <f>93.646-G24</f>
        <v>0.29099999999999682</v>
      </c>
      <c r="H25" s="28">
        <v>0</v>
      </c>
      <c r="I25" s="28">
        <v>0</v>
      </c>
      <c r="J25" s="28">
        <v>0</v>
      </c>
      <c r="K25" s="28">
        <v>0</v>
      </c>
      <c r="L25" s="28">
        <v>0</v>
      </c>
      <c r="M25" s="28">
        <v>0</v>
      </c>
      <c r="N25" s="28">
        <v>0</v>
      </c>
      <c r="O25" s="28">
        <v>0</v>
      </c>
      <c r="P25" s="28">
        <v>0</v>
      </c>
      <c r="Q25" s="28">
        <v>0</v>
      </c>
      <c r="R25" s="28">
        <v>0</v>
      </c>
      <c r="S25" s="28">
        <v>0</v>
      </c>
      <c r="T25" s="28"/>
      <c r="U25" s="28"/>
      <c r="V25" s="28"/>
    </row>
    <row r="26" spans="1:25" s="24" customFormat="1">
      <c r="A26" s="19" t="s">
        <v>61</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v>0</v>
      </c>
      <c r="S26" s="29">
        <v>0</v>
      </c>
      <c r="T26" s="29"/>
      <c r="U26" s="29"/>
      <c r="V26" s="30"/>
      <c r="X26" s="90"/>
      <c r="Y26" s="14"/>
    </row>
    <row r="27" spans="1:25" s="32" customFormat="1">
      <c r="A27" s="17" t="s">
        <v>62</v>
      </c>
      <c r="B27" s="27">
        <f t="shared" ref="B27:C27" si="14">SUM(B24:B26)</f>
        <v>55.042999999999999</v>
      </c>
      <c r="C27" s="27">
        <f t="shared" si="14"/>
        <v>59.872</v>
      </c>
      <c r="D27" s="27">
        <f t="shared" ref="D27:E27" si="15">SUM(D24:D26)</f>
        <v>60.224000000000004</v>
      </c>
      <c r="E27" s="27">
        <f t="shared" si="15"/>
        <v>75.100999999999999</v>
      </c>
      <c r="F27" s="27">
        <f t="shared" ref="F27:G27" si="16">SUM(F24:F26)</f>
        <v>90.418000000000006</v>
      </c>
      <c r="G27" s="27">
        <f t="shared" si="16"/>
        <v>93.646000000000001</v>
      </c>
      <c r="H27" s="27">
        <f t="shared" ref="H27:I27" si="17">SUM(H24:H26)</f>
        <v>106.70200000000001</v>
      </c>
      <c r="I27" s="27">
        <f t="shared" si="17"/>
        <v>101.90900000000001</v>
      </c>
      <c r="J27" s="27">
        <f t="shared" ref="J27:K27" si="18">SUM(J24:J26)</f>
        <v>101.532</v>
      </c>
      <c r="K27" s="27">
        <f t="shared" si="18"/>
        <v>98.513000000000005</v>
      </c>
      <c r="L27" s="27">
        <f t="shared" ref="L27:S27" si="19">SUM(L24:L26)</f>
        <v>87.317999999999984</v>
      </c>
      <c r="M27" s="27">
        <f t="shared" si="19"/>
        <v>77.494999999999976</v>
      </c>
      <c r="N27" s="27">
        <f t="shared" si="19"/>
        <v>66.458999999999989</v>
      </c>
      <c r="O27" s="27">
        <f t="shared" si="19"/>
        <v>64.016999999999996</v>
      </c>
      <c r="P27" s="27">
        <f t="shared" si="19"/>
        <v>63.949000000000076</v>
      </c>
      <c r="Q27" s="27">
        <f t="shared" si="19"/>
        <v>63.581000000000081</v>
      </c>
      <c r="R27" s="27">
        <f t="shared" si="19"/>
        <v>62.840000000000074</v>
      </c>
      <c r="S27" s="27">
        <f t="shared" si="19"/>
        <v>52.914000000000101</v>
      </c>
      <c r="T27" s="27"/>
      <c r="U27" s="27"/>
      <c r="V27" s="31"/>
      <c r="X27" s="33"/>
      <c r="Y27" s="14"/>
    </row>
    <row r="28" spans="1:25" s="24" customFormat="1">
      <c r="X28" s="90"/>
      <c r="Y28" s="14"/>
    </row>
    <row r="29" spans="1:25" s="17" customFormat="1">
      <c r="A29" s="17" t="s">
        <v>58</v>
      </c>
      <c r="B29" s="27">
        <f t="shared" ref="B29:C29" si="20">B22</f>
        <v>13.930999999999999</v>
      </c>
      <c r="C29" s="27">
        <f t="shared" si="20"/>
        <v>13.618</v>
      </c>
      <c r="D29" s="27">
        <f t="shared" ref="D29:G29" si="21">D22</f>
        <v>13.705</v>
      </c>
      <c r="E29" s="27">
        <f t="shared" si="21"/>
        <v>13.789</v>
      </c>
      <c r="F29" s="27">
        <f t="shared" si="21"/>
        <v>18.760000000000002</v>
      </c>
      <c r="G29" s="27">
        <f t="shared" si="21"/>
        <v>13.97</v>
      </c>
      <c r="H29" s="27">
        <f t="shared" ref="H29:I29" si="22">H22</f>
        <v>28.582000000000001</v>
      </c>
      <c r="I29" s="27">
        <f t="shared" si="22"/>
        <v>29.106000000000002</v>
      </c>
      <c r="J29" s="27">
        <f t="shared" ref="J29:O29" si="23">J22</f>
        <v>21.696999999999999</v>
      </c>
      <c r="K29" s="27">
        <f t="shared" si="23"/>
        <v>27.317000000000004</v>
      </c>
      <c r="L29" s="27">
        <f t="shared" si="23"/>
        <v>23.789000000000001</v>
      </c>
      <c r="M29" s="27">
        <f t="shared" si="23"/>
        <v>28.728999999999999</v>
      </c>
      <c r="N29" s="27">
        <f t="shared" si="23"/>
        <v>18.678000000000001</v>
      </c>
      <c r="O29" s="27">
        <f t="shared" si="23"/>
        <v>16.121999999999989</v>
      </c>
      <c r="P29" s="27">
        <f t="shared" ref="P29:V29" si="24">P22</f>
        <v>13.965999999999999</v>
      </c>
      <c r="Q29" s="27">
        <f t="shared" si="24"/>
        <v>17.693000000000001</v>
      </c>
      <c r="R29" s="27">
        <f t="shared" si="24"/>
        <v>16.236000000000001</v>
      </c>
      <c r="S29" s="27">
        <f t="shared" si="24"/>
        <v>16.05400000000008</v>
      </c>
      <c r="T29" s="27">
        <f t="shared" si="24"/>
        <v>13.598000000000001</v>
      </c>
      <c r="U29" s="27">
        <f t="shared" si="24"/>
        <v>16.952000000000002</v>
      </c>
      <c r="V29" s="27">
        <f t="shared" si="24"/>
        <v>6.3100000000000183</v>
      </c>
    </row>
    <row r="30" spans="1:25" s="33" customFormat="1">
      <c r="A30" s="20" t="s">
        <v>63</v>
      </c>
      <c r="B30" s="20">
        <f>-5.243+0.427</f>
        <v>-4.8160000000000007</v>
      </c>
      <c r="C30" s="20">
        <f>-13.321-D30-E30-F30</f>
        <v>-2.6680000000000001</v>
      </c>
      <c r="D30" s="20">
        <f>-12.059+1.406-E30-F30</f>
        <v>-3.2829999999999986</v>
      </c>
      <c r="E30" s="20">
        <f>-8.307+0.937-F30</f>
        <v>-3.4610000000000003</v>
      </c>
      <c r="F30" s="20">
        <f>-4.377+0.468</f>
        <v>-3.9089999999999998</v>
      </c>
      <c r="G30" s="20">
        <f>-17.623-H30-I30-J30</f>
        <v>-4.1180000000000012</v>
      </c>
      <c r="H30" s="20">
        <f>-14.911+1.406-I30-J30</f>
        <v>-4.5159999999999973</v>
      </c>
      <c r="I30" s="20">
        <f>-9.925+0.936-J30</f>
        <v>-4.4170000000000007</v>
      </c>
      <c r="J30" s="20">
        <f>-5.04+0.468</f>
        <v>-4.5720000000000001</v>
      </c>
      <c r="K30" s="20">
        <f>-19.134-L30-M30-N30</f>
        <v>-4.5120000000000005</v>
      </c>
      <c r="L30" s="20">
        <f>-15.959+1.337-M30-N30</f>
        <v>-4.3759999999999994</v>
      </c>
      <c r="M30" s="20">
        <f>-11.178+0.932-N30</f>
        <v>-5.6669999999999998</v>
      </c>
      <c r="N30" s="20">
        <f>-5.041+0.462</f>
        <v>-4.5790000000000006</v>
      </c>
      <c r="O30" s="20">
        <f>-15.205-P30-Q30-R30</f>
        <v>-3.7029999999999994</v>
      </c>
      <c r="P30" s="20">
        <f>-12.573+1.071-Q30-R30</f>
        <v>-4.4850000000000012</v>
      </c>
      <c r="Q30" s="20">
        <f>-7.645+0.628-R30</f>
        <v>-3.5539999999999994</v>
      </c>
      <c r="R30" s="20">
        <f>-3.653+0.19</f>
        <v>-3.4630000000000001</v>
      </c>
      <c r="S30" s="20">
        <f>-13.708-V30-U30-T30</f>
        <v>-3.4270000000000009</v>
      </c>
      <c r="T30" s="20">
        <v>-3.427</v>
      </c>
      <c r="U30" s="20">
        <v>-3.427</v>
      </c>
      <c r="V30" s="20">
        <v>-3.427</v>
      </c>
    </row>
    <row r="31" spans="1:25" s="33" customFormat="1">
      <c r="A31" s="20" t="s">
        <v>64</v>
      </c>
      <c r="B31" s="20">
        <f>-1.271+0.459</f>
        <v>-0.81199999999999983</v>
      </c>
      <c r="C31" s="20">
        <f>-6.277-D31-E31-F31</f>
        <v>-7.6089999999999991</v>
      </c>
      <c r="D31" s="20">
        <f>7.809-6.477-E31-F31</f>
        <v>3.492</v>
      </c>
      <c r="E31" s="20">
        <f>-2.334+0.174-F31</f>
        <v>-1.3640000000000003</v>
      </c>
      <c r="F31" s="20">
        <f>-1.724+0.928</f>
        <v>-0.79599999999999993</v>
      </c>
      <c r="G31" s="20">
        <f>-13.318-H31-I31-J31</f>
        <v>-5</v>
      </c>
      <c r="H31" s="20">
        <f>-10.655+2.337-I31-J31</f>
        <v>-2.194999999999999</v>
      </c>
      <c r="I31" s="20">
        <f>-7.049+0.926-J31</f>
        <v>-4.2230000000000008</v>
      </c>
      <c r="J31" s="20">
        <f>-2.622+0.722</f>
        <v>-1.9</v>
      </c>
      <c r="K31" s="20">
        <f>-8.301-L31-M31-N31</f>
        <v>0.42100000000000026</v>
      </c>
      <c r="L31" s="20">
        <f>-8.962+0.24-M31-N31</f>
        <v>-3.528</v>
      </c>
      <c r="M31" s="20">
        <f>-5.412+0.218-N31</f>
        <v>-3.379</v>
      </c>
      <c r="N31" s="20">
        <f>-1.636-0.179</f>
        <v>-1.8149999999999999</v>
      </c>
      <c r="O31" s="20">
        <f>-0.714-P31-Q31-R31</f>
        <v>0.16599999999999993</v>
      </c>
      <c r="P31" s="20">
        <f>-2.88+2-Q31-R31</f>
        <v>1.1779999999999999</v>
      </c>
      <c r="Q31" s="20">
        <f>-4.056+1.998-R31</f>
        <v>-1.0409999999999999</v>
      </c>
      <c r="R31" s="20">
        <f>-1.817+0.8</f>
        <v>-1.0169999999999999</v>
      </c>
      <c r="S31" s="20">
        <f>-4.78-V31-U31-T31</f>
        <v>-4.2000000000000011</v>
      </c>
      <c r="T31" s="20">
        <f>-0.459-0.121-V31-U31</f>
        <v>-1.5230000000000001</v>
      </c>
      <c r="U31" s="20">
        <f>0.205+0.738-V31</f>
        <v>-2.597</v>
      </c>
      <c r="V31" s="20">
        <f>0.008+3.532</f>
        <v>3.54</v>
      </c>
    </row>
    <row r="32" spans="1:25" s="33" customFormat="1">
      <c r="A32" s="20" t="s">
        <v>65</v>
      </c>
      <c r="B32" s="20">
        <f>-2.245+4.052-6.31-7.293+10.115+1.884+3.257</f>
        <v>3.4600000000000009</v>
      </c>
      <c r="C32" s="20">
        <f>42.909+14.009+22.208+13.053-14.897-7.816-D32-E32-F32</f>
        <v>14.337999999999996</v>
      </c>
      <c r="D32" s="20">
        <f>37.212+10.876+4.533+4.99+11.71-7.702-6.491-E32-F32</f>
        <v>16.417000000000009</v>
      </c>
      <c r="E32" s="20">
        <f>34.416+2.032-0.935+2.586+13.572-8.296-4.664-F32</f>
        <v>54.336999999999989</v>
      </c>
      <c r="F32" s="20">
        <f>-5.183-3.381-2.215-1.933+6.048-7.327-1.635</f>
        <v>-15.625999999999999</v>
      </c>
      <c r="G32" s="20">
        <f>5.56+0.092-14.447+5.11-15.407+1.142-H32-I32-J32</f>
        <v>32.100999999999999</v>
      </c>
      <c r="H32" s="20">
        <f>-17.581-1.371-17.039+1.786-6.301-3.524-6.021-I32-J32</f>
        <v>-11.168000000000006</v>
      </c>
      <c r="I32" s="20">
        <f>-17.402-2.953-13.114+7.295+0.911-4.774-8.846-J32</f>
        <v>-18.507999999999996</v>
      </c>
      <c r="J32" s="20">
        <f>-5.035-5.628-6.891+3.389+1.085-2.514-4.781</f>
        <v>-20.375</v>
      </c>
      <c r="K32" s="20">
        <f>-22.487-5.64-20.838+0.188+7.093+6.522-L32-M32-N32</f>
        <v>4.1000000000000014</v>
      </c>
      <c r="L32" s="20">
        <f>-13.225-11.541-22.468-0.25+4.291+1.32+2.611-M32-N32</f>
        <v>8.6000000000005627E-2</v>
      </c>
      <c r="M32" s="20">
        <f>-14.469-11.051-16.718+0.614+0.815-1.15+2.611-N32</f>
        <v>-25.484000000000005</v>
      </c>
      <c r="N32" s="20">
        <f>3.953-8.642-9.107+0.699-0.691-0.076</f>
        <v>-13.864000000000001</v>
      </c>
      <c r="O32" s="20">
        <f>-20.539-8.419-7.544-3.287+3.189+1.406-P32-Q32-R32</f>
        <v>-6.7420000000000062</v>
      </c>
      <c r="P32" s="20">
        <f>-16.397-5.701-3.827-2.362-0.354+0.189-Q32-R32</f>
        <v>-10.943999999999997</v>
      </c>
      <c r="Q32" s="20">
        <v>-3.270999999999999</v>
      </c>
      <c r="R32" s="20">
        <v>-14.237</v>
      </c>
      <c r="S32" s="20">
        <f>7.574-V32-U32-T32</f>
        <v>6.2999999999998835E-2</v>
      </c>
      <c r="T32" s="20">
        <v>31.839000000000002</v>
      </c>
      <c r="U32" s="20">
        <v>-8.4510000000000005</v>
      </c>
      <c r="V32" s="20">
        <v>-15.877000000000001</v>
      </c>
    </row>
    <row r="33" spans="1:24"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row>
    <row r="34" spans="1:24" s="33" customFormat="1">
      <c r="A34" s="20" t="s">
        <v>57</v>
      </c>
      <c r="B34" s="29">
        <f t="shared" ref="B34:C34" si="25">B35-SUM(B29:B33)</f>
        <v>-1.2110000000000003</v>
      </c>
      <c r="C34" s="29">
        <f t="shared" si="25"/>
        <v>-2.2439999999999873</v>
      </c>
      <c r="D34" s="29">
        <f t="shared" ref="D34:E34" si="26">D35-SUM(D29:D33)</f>
        <v>0.14499999999998181</v>
      </c>
      <c r="E34" s="29">
        <f t="shared" si="26"/>
        <v>7.5000000000017053E-2</v>
      </c>
      <c r="F34" s="29">
        <f t="shared" ref="F34:G34" si="27">F35-SUM(F29:F33)</f>
        <v>-4.1000000000003922E-2</v>
      </c>
      <c r="G34" s="29">
        <f t="shared" si="27"/>
        <v>-3.1310000000000002</v>
      </c>
      <c r="H34" s="29">
        <f t="shared" ref="H34:O34" si="28">H35-SUM(H29:H33)</f>
        <v>0.24200000000000443</v>
      </c>
      <c r="I34" s="29">
        <f t="shared" si="28"/>
        <v>-0.10800000000000587</v>
      </c>
      <c r="J34" s="29">
        <f t="shared" si="28"/>
        <v>-0.15999999999999925</v>
      </c>
      <c r="K34" s="29">
        <f t="shared" si="28"/>
        <v>-1.3279999999999994</v>
      </c>
      <c r="L34" s="29">
        <f t="shared" si="28"/>
        <v>0.85399999999999032</v>
      </c>
      <c r="M34" s="29">
        <f t="shared" si="28"/>
        <v>-0.37399999999999078</v>
      </c>
      <c r="N34" s="29">
        <f t="shared" si="28"/>
        <v>0.77200000000000002</v>
      </c>
      <c r="O34" s="29">
        <f t="shared" si="28"/>
        <v>-1.8259999999999827</v>
      </c>
      <c r="P34" s="29">
        <f t="shared" ref="P34:V34" si="29">P35-SUM(P29:P33)</f>
        <v>0.95799999999999708</v>
      </c>
      <c r="Q34" s="29">
        <f t="shared" si="29"/>
        <v>0.21699999999999697</v>
      </c>
      <c r="R34" s="29">
        <f t="shared" si="29"/>
        <v>0.29099999999999993</v>
      </c>
      <c r="S34" s="29">
        <f t="shared" si="29"/>
        <v>3.7999999999999261</v>
      </c>
      <c r="T34" s="29">
        <f t="shared" si="29"/>
        <v>-16.178999999999998</v>
      </c>
      <c r="U34" s="29">
        <f t="shared" si="29"/>
        <v>16.520999999999994</v>
      </c>
      <c r="V34" s="29">
        <f t="shared" si="29"/>
        <v>1.863999999999983</v>
      </c>
    </row>
    <row r="35" spans="1:24" s="27" customFormat="1">
      <c r="A35" s="27" t="s">
        <v>67</v>
      </c>
      <c r="B35" s="27">
        <v>10.552</v>
      </c>
      <c r="C35" s="27">
        <f>107.675-D35-E35-F35</f>
        <v>15.435000000000008</v>
      </c>
      <c r="D35" s="27">
        <f>92.24-E35-F35</f>
        <v>30.475999999999992</v>
      </c>
      <c r="E35" s="27">
        <f>61.764-F35</f>
        <v>63.376000000000005</v>
      </c>
      <c r="F35" s="27">
        <v>-1.6120000000000001</v>
      </c>
      <c r="G35" s="27">
        <f>41.307-H35-I35-J35</f>
        <v>33.822000000000003</v>
      </c>
      <c r="H35" s="27">
        <f>7.485-I35-J35</f>
        <v>10.945</v>
      </c>
      <c r="I35" s="27">
        <f>-3.46-J35</f>
        <v>1.8499999999999996</v>
      </c>
      <c r="J35" s="27">
        <v>-5.31</v>
      </c>
      <c r="K35" s="27">
        <f>35.84-L35-M35-N35</f>
        <v>25.998000000000005</v>
      </c>
      <c r="L35" s="27">
        <f>9.842-M35-N35</f>
        <v>16.824999999999999</v>
      </c>
      <c r="M35" s="27">
        <f>-6.983-N35</f>
        <v>-6.1749999999999998</v>
      </c>
      <c r="N35" s="27">
        <v>-0.80800000000000005</v>
      </c>
      <c r="O35" s="27">
        <f>12.544-P35-Q35-R35</f>
        <v>4.0170000000000012</v>
      </c>
      <c r="P35" s="27">
        <f>8.527-Q35-R35</f>
        <v>0.67299999999999871</v>
      </c>
      <c r="Q35" s="27">
        <v>10.044</v>
      </c>
      <c r="R35" s="27">
        <v>-2.19</v>
      </c>
      <c r="S35" s="27">
        <f>48.006-V35-U35-T35</f>
        <v>12.290000000000003</v>
      </c>
      <c r="T35" s="27">
        <v>24.308000000000003</v>
      </c>
      <c r="U35" s="27">
        <v>18.997999999999998</v>
      </c>
      <c r="V35" s="27">
        <v>-7.59</v>
      </c>
    </row>
    <row r="36" spans="1:24" s="33" customFormat="1">
      <c r="A36" s="20" t="s">
        <v>68</v>
      </c>
      <c r="B36" s="29">
        <v>-0.68</v>
      </c>
      <c r="C36" s="29">
        <f>-6.672-D36-E36-F36</f>
        <v>-0.14200000000000035</v>
      </c>
      <c r="D36" s="29">
        <f>-6.53-E36-F36</f>
        <v>-1.3969999999999998</v>
      </c>
      <c r="E36" s="29">
        <f>-5.133-F36</f>
        <v>-1.8980000000000001</v>
      </c>
      <c r="F36" s="29">
        <v>-3.2349999999999999</v>
      </c>
      <c r="G36" s="29">
        <f>-22.12-H36-I36-J36</f>
        <v>-7.8730000000000011</v>
      </c>
      <c r="H36" s="29">
        <f>-14.247-I36-J36</f>
        <v>-5.6630000000000003</v>
      </c>
      <c r="I36" s="29">
        <f>-8.584-J36</f>
        <v>-6.2720000000000002</v>
      </c>
      <c r="J36" s="29">
        <v>-2.3119999999999998</v>
      </c>
      <c r="K36" s="29">
        <f>-9.323-L36-M36-N36</f>
        <v>-1.6180000000000008</v>
      </c>
      <c r="L36" s="29">
        <f>-7.705-M36-N36</f>
        <v>-2.1890000000000005</v>
      </c>
      <c r="M36" s="29">
        <f>-5.516-N36</f>
        <v>-4.7249999999999996</v>
      </c>
      <c r="N36" s="29">
        <v>-0.79100000000000004</v>
      </c>
      <c r="O36" s="29">
        <f>-2.811-P36-Q36-R36</f>
        <v>-0.65399999999999991</v>
      </c>
      <c r="P36" s="29">
        <f>-2.157-Q36-R36</f>
        <v>-1.0389999999999999</v>
      </c>
      <c r="Q36" s="29">
        <v>-0.51700000000000013</v>
      </c>
      <c r="R36" s="29">
        <v>-0.60099999999999998</v>
      </c>
      <c r="S36" s="29">
        <f>-3.662-V36-U36-T36</f>
        <v>0.18100000000000005</v>
      </c>
      <c r="T36" s="29">
        <v>0.77700000000000014</v>
      </c>
      <c r="U36" s="29">
        <v>-2.93</v>
      </c>
      <c r="V36" s="29">
        <v>-1.69</v>
      </c>
    </row>
    <row r="37" spans="1:24" s="27" customFormat="1">
      <c r="A37" s="27" t="s">
        <v>69</v>
      </c>
      <c r="B37" s="27">
        <f t="shared" ref="B37:V37" si="30">+B35+B36</f>
        <v>9.8719999999999999</v>
      </c>
      <c r="C37" s="27">
        <f t="shared" si="30"/>
        <v>15.293000000000006</v>
      </c>
      <c r="D37" s="27">
        <f t="shared" si="30"/>
        <v>29.078999999999994</v>
      </c>
      <c r="E37" s="27">
        <f t="shared" si="30"/>
        <v>61.478000000000002</v>
      </c>
      <c r="F37" s="27">
        <f t="shared" si="30"/>
        <v>-4.8469999999999995</v>
      </c>
      <c r="G37" s="27">
        <f t="shared" si="30"/>
        <v>25.949000000000002</v>
      </c>
      <c r="H37" s="27">
        <f t="shared" si="30"/>
        <v>5.282</v>
      </c>
      <c r="I37" s="27">
        <f t="shared" si="30"/>
        <v>-4.4220000000000006</v>
      </c>
      <c r="J37" s="27">
        <f t="shared" si="30"/>
        <v>-7.6219999999999999</v>
      </c>
      <c r="K37" s="27">
        <f t="shared" si="30"/>
        <v>24.380000000000003</v>
      </c>
      <c r="L37" s="27">
        <f t="shared" si="30"/>
        <v>14.635999999999999</v>
      </c>
      <c r="M37" s="27">
        <f t="shared" si="30"/>
        <v>-10.899999999999999</v>
      </c>
      <c r="N37" s="27">
        <f t="shared" si="30"/>
        <v>-1.5990000000000002</v>
      </c>
      <c r="O37" s="27">
        <f t="shared" si="30"/>
        <v>3.3630000000000013</v>
      </c>
      <c r="P37" s="27">
        <f t="shared" si="30"/>
        <v>-0.36600000000000121</v>
      </c>
      <c r="Q37" s="27">
        <f t="shared" si="30"/>
        <v>9.527000000000001</v>
      </c>
      <c r="R37" s="27">
        <f t="shared" si="30"/>
        <v>-2.7909999999999999</v>
      </c>
      <c r="S37" s="27">
        <f t="shared" si="30"/>
        <v>12.471000000000004</v>
      </c>
      <c r="T37" s="27">
        <f t="shared" si="30"/>
        <v>25.085000000000004</v>
      </c>
      <c r="U37" s="27">
        <f t="shared" si="30"/>
        <v>16.067999999999998</v>
      </c>
      <c r="V37" s="27">
        <f t="shared" si="30"/>
        <v>-9.2799999999999994</v>
      </c>
    </row>
    <row r="39" spans="1:24" s="35" customFormat="1">
      <c r="A39" s="34" t="s">
        <v>70</v>
      </c>
      <c r="B39" s="20">
        <v>0</v>
      </c>
      <c r="C39" s="20">
        <v>0</v>
      </c>
      <c r="D39" s="20">
        <v>0</v>
      </c>
      <c r="E39" s="20">
        <v>0</v>
      </c>
      <c r="F39" s="20">
        <v>0</v>
      </c>
      <c r="G39" s="20">
        <v>0</v>
      </c>
      <c r="H39" s="20">
        <v>0</v>
      </c>
      <c r="I39" s="20">
        <v>0</v>
      </c>
      <c r="J39" s="20">
        <v>0</v>
      </c>
      <c r="K39" s="20">
        <v>0</v>
      </c>
      <c r="L39" s="20">
        <v>0</v>
      </c>
      <c r="M39" s="20">
        <v>0</v>
      </c>
      <c r="N39" s="20">
        <v>0</v>
      </c>
      <c r="O39" s="20">
        <v>0</v>
      </c>
      <c r="P39" s="20">
        <v>0</v>
      </c>
      <c r="Q39" s="20">
        <v>162.6</v>
      </c>
      <c r="R39" s="20">
        <v>153.80000000000001</v>
      </c>
      <c r="S39" s="20">
        <v>147.6</v>
      </c>
      <c r="T39" s="20"/>
      <c r="U39" s="20"/>
      <c r="V39" s="20"/>
      <c r="W39" s="33"/>
      <c r="X39" s="33"/>
    </row>
    <row r="40" spans="1:24" s="35" customFormat="1">
      <c r="A40" s="34" t="s">
        <v>71</v>
      </c>
      <c r="B40" s="20">
        <v>329.17500000000001</v>
      </c>
      <c r="C40" s="20">
        <v>330</v>
      </c>
      <c r="D40" s="20">
        <v>217.5</v>
      </c>
      <c r="E40" s="20">
        <v>228.125</v>
      </c>
      <c r="F40" s="20">
        <v>243.75</v>
      </c>
      <c r="G40" s="20">
        <f>244.375</f>
        <v>244.375</v>
      </c>
      <c r="H40" s="20">
        <f>245</f>
        <v>245</v>
      </c>
      <c r="I40" s="20">
        <f>245.625+1.39</f>
        <v>247.01499999999999</v>
      </c>
      <c r="J40" s="20">
        <f>246.25+1.616</f>
        <v>247.86600000000001</v>
      </c>
      <c r="K40" s="20">
        <f>246.875+1.841</f>
        <v>248.71600000000001</v>
      </c>
      <c r="L40" s="20">
        <f>247.5+2.063</f>
        <v>249.56299999999999</v>
      </c>
      <c r="M40" s="20">
        <f>248.125+2.284</f>
        <v>250.40899999999999</v>
      </c>
      <c r="N40" s="20">
        <f>248.75+2.504</f>
        <v>251.25399999999999</v>
      </c>
      <c r="O40" s="20">
        <f>249.375+2.722</f>
        <v>252.09700000000001</v>
      </c>
      <c r="P40" s="20">
        <v>252.93799999999999</v>
      </c>
      <c r="Q40" s="20">
        <f>221.002-Q39</f>
        <v>58.402000000000015</v>
      </c>
      <c r="R40" s="20">
        <f>228.041-R39</f>
        <v>74.240999999999985</v>
      </c>
      <c r="S40" s="20">
        <f>225.677-S39</f>
        <v>78.076999999999998</v>
      </c>
      <c r="T40" s="20"/>
      <c r="U40" s="20"/>
      <c r="V40" s="20"/>
      <c r="W40" s="33"/>
      <c r="X40" s="33"/>
    </row>
    <row r="41" spans="1:24" s="35" customFormat="1">
      <c r="A41" s="34" t="s">
        <v>72</v>
      </c>
      <c r="B41" s="20">
        <f t="shared" ref="B41:S41" si="31">B39+B40</f>
        <v>329.17500000000001</v>
      </c>
      <c r="C41" s="20">
        <f t="shared" si="31"/>
        <v>330</v>
      </c>
      <c r="D41" s="20">
        <f t="shared" si="31"/>
        <v>217.5</v>
      </c>
      <c r="E41" s="20">
        <f t="shared" si="31"/>
        <v>228.125</v>
      </c>
      <c r="F41" s="20">
        <f t="shared" si="31"/>
        <v>243.75</v>
      </c>
      <c r="G41" s="20">
        <f t="shared" si="31"/>
        <v>244.375</v>
      </c>
      <c r="H41" s="20">
        <f t="shared" si="31"/>
        <v>245</v>
      </c>
      <c r="I41" s="20">
        <f t="shared" si="31"/>
        <v>247.01499999999999</v>
      </c>
      <c r="J41" s="20">
        <f t="shared" si="31"/>
        <v>247.86600000000001</v>
      </c>
      <c r="K41" s="20">
        <f t="shared" si="31"/>
        <v>248.71600000000001</v>
      </c>
      <c r="L41" s="20">
        <f t="shared" si="31"/>
        <v>249.56299999999999</v>
      </c>
      <c r="M41" s="20">
        <f t="shared" si="31"/>
        <v>250.40899999999999</v>
      </c>
      <c r="N41" s="20">
        <f t="shared" si="31"/>
        <v>251.25399999999999</v>
      </c>
      <c r="O41" s="20">
        <f t="shared" si="31"/>
        <v>252.09700000000001</v>
      </c>
      <c r="P41" s="20">
        <f t="shared" si="31"/>
        <v>252.93799999999999</v>
      </c>
      <c r="Q41" s="20">
        <f t="shared" si="31"/>
        <v>221.00200000000001</v>
      </c>
      <c r="R41" s="20">
        <f t="shared" si="31"/>
        <v>228.041</v>
      </c>
      <c r="S41" s="20">
        <f t="shared" si="31"/>
        <v>225.67699999999999</v>
      </c>
      <c r="T41" s="20"/>
      <c r="U41" s="20"/>
      <c r="V41" s="20"/>
      <c r="W41" s="33"/>
      <c r="X41" s="33"/>
    </row>
    <row r="42" spans="1:24" s="35" customFormat="1">
      <c r="A42" s="34" t="s">
        <v>73</v>
      </c>
      <c r="B42" s="36">
        <f>19206923/1000000*29.27</f>
        <v>562.18663620999996</v>
      </c>
      <c r="C42" s="36">
        <f>19293280/1000000*32.25</f>
        <v>622.20827999999995</v>
      </c>
      <c r="D42" s="36">
        <f>17790717/1000000*15.64</f>
        <v>278.24681388000005</v>
      </c>
      <c r="E42" s="36">
        <f>17778829/1000000*16.88</f>
        <v>300.10663352</v>
      </c>
      <c r="F42" s="36">
        <f>17722069/1000000*14.92</f>
        <v>264.41326948</v>
      </c>
      <c r="G42" s="36">
        <f>17647751/1000000*28.39</f>
        <v>501.01965088999998</v>
      </c>
      <c r="H42" s="36">
        <f>17603267/1000000*41.96</f>
        <v>738.63308331999997</v>
      </c>
      <c r="I42" s="36">
        <f>17607385/1000000*33.95</f>
        <v>597.77072075000012</v>
      </c>
      <c r="J42" s="36">
        <f>17592190/1000000*37.16</f>
        <v>653.72578039999985</v>
      </c>
      <c r="K42" s="36">
        <f>17581662/1000000*42.17</f>
        <v>741.41868654000007</v>
      </c>
      <c r="L42" s="36">
        <f>17570252/1000000*31.78</f>
        <v>558.38260855999999</v>
      </c>
      <c r="M42" s="36">
        <f>17387176/1000000*38.2</f>
        <v>664.19012320000002</v>
      </c>
      <c r="N42" s="36">
        <f>17373651/1000000*38.95</f>
        <v>676.70370645000003</v>
      </c>
      <c r="O42" s="36">
        <f>17358186/1000000*29.57</f>
        <v>513.28156002000003</v>
      </c>
      <c r="P42" s="36">
        <f>17391816/1000000*31.49</f>
        <v>547.66828583999995</v>
      </c>
      <c r="Q42" s="36">
        <v>484.8</v>
      </c>
      <c r="R42" s="36">
        <v>484.8</v>
      </c>
      <c r="S42" s="36">
        <v>484.8</v>
      </c>
      <c r="T42" s="36"/>
      <c r="U42" s="36"/>
      <c r="V42" s="36"/>
    </row>
    <row r="43" spans="1:24">
      <c r="B43" s="33"/>
      <c r="C43" s="33"/>
      <c r="D43" s="33"/>
      <c r="E43" s="33"/>
      <c r="F43" s="33"/>
      <c r="G43" s="33"/>
      <c r="H43" s="33"/>
      <c r="I43" s="33"/>
      <c r="J43" s="33"/>
      <c r="K43" s="33"/>
      <c r="L43" s="35"/>
      <c r="M43" s="35"/>
      <c r="N43" s="35"/>
      <c r="O43" s="35"/>
      <c r="P43" s="35"/>
      <c r="Q43" s="35"/>
      <c r="R43" s="35"/>
      <c r="S43" s="35"/>
    </row>
    <row r="44" spans="1:24">
      <c r="A44" s="19" t="s">
        <v>74</v>
      </c>
      <c r="B44" s="28">
        <v>127.361</v>
      </c>
      <c r="C44" s="28">
        <v>117.35299999999999</v>
      </c>
      <c r="D44" s="28">
        <v>97.287000000000006</v>
      </c>
      <c r="E44" s="28">
        <v>78.677999999999997</v>
      </c>
      <c r="F44" s="28">
        <v>32.729999999999997</v>
      </c>
      <c r="G44" s="28">
        <v>54.203000000000003</v>
      </c>
      <c r="H44" s="28">
        <v>28.436</v>
      </c>
      <c r="I44" s="28">
        <v>25.428999999999998</v>
      </c>
      <c r="J44" s="28">
        <v>30.606000000000002</v>
      </c>
      <c r="K44" s="28">
        <v>40.304000000000002</v>
      </c>
      <c r="L44" s="28">
        <v>15.994</v>
      </c>
      <c r="M44" s="28">
        <v>2.4889999999999999</v>
      </c>
      <c r="N44" s="28">
        <v>12.646000000000001</v>
      </c>
      <c r="O44" s="28">
        <v>22.047000000000001</v>
      </c>
      <c r="P44" s="28">
        <v>19.472999999999999</v>
      </c>
      <c r="Q44" s="28">
        <v>2.4790000000000001</v>
      </c>
      <c r="R44" s="28">
        <v>0.995</v>
      </c>
      <c r="S44" s="28">
        <v>1.59</v>
      </c>
      <c r="T44" s="28"/>
      <c r="U44" s="28"/>
      <c r="V44" s="28"/>
    </row>
    <row r="46" spans="1:24">
      <c r="A46" s="14" t="s">
        <v>75</v>
      </c>
      <c r="B46" s="33">
        <f t="shared" ref="B46:P46" si="32">SUM(B12:E12)</f>
        <v>949.89900000000011</v>
      </c>
      <c r="C46" s="33">
        <f t="shared" si="32"/>
        <v>1005.2660000000001</v>
      </c>
      <c r="D46" s="33">
        <f t="shared" si="32"/>
        <v>1068.0450000000001</v>
      </c>
      <c r="E46" s="33">
        <f t="shared" si="32"/>
        <v>1175.0300000000002</v>
      </c>
      <c r="F46" s="33">
        <f t="shared" si="32"/>
        <v>1256.9470000000001</v>
      </c>
      <c r="G46" s="33">
        <f t="shared" si="32"/>
        <v>1267.1890000000001</v>
      </c>
      <c r="H46" s="33">
        <f t="shared" si="32"/>
        <v>1282.7269999999999</v>
      </c>
      <c r="I46" s="33">
        <f t="shared" si="32"/>
        <v>1263.577</v>
      </c>
      <c r="J46" s="33">
        <f t="shared" si="32"/>
        <v>1241.4859999999999</v>
      </c>
      <c r="K46" s="33">
        <f t="shared" si="32"/>
        <v>1216.1969999999999</v>
      </c>
      <c r="L46" s="33">
        <f t="shared" si="32"/>
        <v>1170.8180000000002</v>
      </c>
      <c r="M46" s="33">
        <f t="shared" si="32"/>
        <v>1114.7200000000003</v>
      </c>
      <c r="N46" s="33">
        <f t="shared" si="32"/>
        <v>1054.1910000000003</v>
      </c>
      <c r="O46" s="33">
        <f t="shared" si="32"/>
        <v>1006.7820000000002</v>
      </c>
      <c r="P46" s="33">
        <f t="shared" si="32"/>
        <v>963.45399999999995</v>
      </c>
      <c r="Q46" s="33">
        <v>941.54900000000009</v>
      </c>
      <c r="R46" s="33">
        <f>962.1+238.527-253.561</f>
        <v>947.06599999999992</v>
      </c>
      <c r="S46" s="33">
        <v>962.1</v>
      </c>
      <c r="T46" s="33"/>
      <c r="U46" s="33"/>
    </row>
    <row r="47" spans="1:24">
      <c r="A47" s="14" t="s">
        <v>76</v>
      </c>
      <c r="B47" s="33">
        <f t="shared" ref="B47" si="33">B27</f>
        <v>55.042999999999999</v>
      </c>
      <c r="C47" s="33">
        <f t="shared" ref="C47:D47" si="34">C27</f>
        <v>59.872</v>
      </c>
      <c r="D47" s="33">
        <f t="shared" si="34"/>
        <v>60.224000000000004</v>
      </c>
      <c r="E47" s="33">
        <f t="shared" ref="E47:F47" si="35">E27</f>
        <v>75.100999999999999</v>
      </c>
      <c r="F47" s="33">
        <f t="shared" si="35"/>
        <v>90.418000000000006</v>
      </c>
      <c r="G47" s="33">
        <f t="shared" ref="G47:H47" si="36">G27</f>
        <v>93.646000000000001</v>
      </c>
      <c r="H47" s="33">
        <f t="shared" si="36"/>
        <v>106.70200000000001</v>
      </c>
      <c r="I47" s="33">
        <f t="shared" ref="I47:K47" si="37">I27</f>
        <v>101.90900000000001</v>
      </c>
      <c r="J47" s="33">
        <f t="shared" si="37"/>
        <v>101.532</v>
      </c>
      <c r="K47" s="33">
        <f t="shared" si="37"/>
        <v>98.513000000000005</v>
      </c>
      <c r="L47" s="33">
        <f t="shared" ref="L47:Q47" si="38">L27</f>
        <v>87.317999999999984</v>
      </c>
      <c r="M47" s="33">
        <f t="shared" si="38"/>
        <v>77.494999999999976</v>
      </c>
      <c r="N47" s="33">
        <f t="shared" si="38"/>
        <v>66.458999999999989</v>
      </c>
      <c r="O47" s="33">
        <f t="shared" si="38"/>
        <v>64.016999999999996</v>
      </c>
      <c r="P47" s="33">
        <f t="shared" si="38"/>
        <v>63.949000000000076</v>
      </c>
      <c r="Q47" s="33">
        <f t="shared" si="38"/>
        <v>63.581000000000081</v>
      </c>
      <c r="R47" s="33">
        <f>52.9140000000001+15.784-6.31000000000002</f>
        <v>62.38800000000009</v>
      </c>
      <c r="S47" s="33">
        <v>52.914000000000058</v>
      </c>
      <c r="T47" s="33"/>
      <c r="U47" s="33"/>
    </row>
    <row r="48" spans="1:24">
      <c r="A48" s="14" t="s">
        <v>77</v>
      </c>
      <c r="B48" s="33">
        <f t="shared" ref="B48:S48" si="39">SUM(B37:E37)</f>
        <v>115.72200000000001</v>
      </c>
      <c r="C48" s="33">
        <f t="shared" si="39"/>
        <v>101.003</v>
      </c>
      <c r="D48" s="33">
        <f t="shared" si="39"/>
        <v>111.65899999999999</v>
      </c>
      <c r="E48" s="33">
        <f t="shared" si="39"/>
        <v>87.861999999999995</v>
      </c>
      <c r="F48" s="33">
        <f t="shared" si="39"/>
        <v>21.962000000000003</v>
      </c>
      <c r="G48" s="33">
        <f t="shared" si="39"/>
        <v>19.187000000000001</v>
      </c>
      <c r="H48" s="33">
        <f t="shared" si="39"/>
        <v>17.618000000000002</v>
      </c>
      <c r="I48" s="33">
        <f t="shared" si="39"/>
        <v>26.972000000000001</v>
      </c>
      <c r="J48" s="33">
        <f t="shared" si="39"/>
        <v>20.494000000000003</v>
      </c>
      <c r="K48" s="33">
        <f t="shared" si="39"/>
        <v>26.517000000000007</v>
      </c>
      <c r="L48" s="33">
        <f t="shared" si="39"/>
        <v>5.5000000000000018</v>
      </c>
      <c r="M48" s="33">
        <f t="shared" si="39"/>
        <v>-9.5019999999999989</v>
      </c>
      <c r="N48" s="33">
        <f t="shared" si="39"/>
        <v>10.925000000000001</v>
      </c>
      <c r="O48" s="33">
        <f t="shared" si="39"/>
        <v>9.7330000000000005</v>
      </c>
      <c r="P48" s="33">
        <f t="shared" si="39"/>
        <v>18.841000000000001</v>
      </c>
      <c r="Q48" s="33">
        <f t="shared" si="39"/>
        <v>44.292000000000009</v>
      </c>
      <c r="R48" s="33">
        <f t="shared" si="39"/>
        <v>50.833000000000006</v>
      </c>
      <c r="S48" s="33">
        <f t="shared" si="39"/>
        <v>44.344000000000008</v>
      </c>
      <c r="T48" s="33"/>
      <c r="U48" s="33"/>
    </row>
    <row r="50" spans="1:22" s="37" customFormat="1">
      <c r="A50" s="37" t="s">
        <v>78</v>
      </c>
      <c r="B50" s="37">
        <f t="shared" ref="B50" si="40">+SUM(B39:B40)/B47</f>
        <v>5.9803244735933729</v>
      </c>
      <c r="C50" s="37">
        <f t="shared" ref="C50:D50" si="41">+SUM(C39:C40)/C47</f>
        <v>5.511758417958311</v>
      </c>
      <c r="D50" s="37">
        <f t="shared" si="41"/>
        <v>3.6115170031880974</v>
      </c>
      <c r="E50" s="37">
        <f t="shared" ref="E50:F50" si="42">+SUM(E39:E40)/E47</f>
        <v>3.037576064233499</v>
      </c>
      <c r="F50" s="37">
        <f t="shared" si="42"/>
        <v>2.6958127806410226</v>
      </c>
      <c r="G50" s="37">
        <f t="shared" ref="G50:H50" si="43">+SUM(G39:G40)/G47</f>
        <v>2.6095615402686714</v>
      </c>
      <c r="H50" s="37">
        <f t="shared" si="43"/>
        <v>2.2961144121009913</v>
      </c>
      <c r="I50" s="37">
        <f t="shared" ref="I50:J50" si="44">+SUM(I39:I40)/I47</f>
        <v>2.4238781658145991</v>
      </c>
      <c r="J50" s="37">
        <f t="shared" si="44"/>
        <v>2.4412598983571683</v>
      </c>
      <c r="K50" s="37">
        <f t="shared" ref="K50:L50" si="45">+SUM(K39:K40)/K47</f>
        <v>2.5247023235512063</v>
      </c>
      <c r="L50" s="37">
        <f t="shared" si="45"/>
        <v>2.8580934057124536</v>
      </c>
      <c r="M50" s="37">
        <f t="shared" ref="M50:S50" si="46">+SUM(M39:M40)/M47</f>
        <v>3.2312923414413843</v>
      </c>
      <c r="N50" s="37">
        <f t="shared" si="46"/>
        <v>3.7805865270317041</v>
      </c>
      <c r="O50" s="37">
        <f t="shared" si="46"/>
        <v>3.9379696018245158</v>
      </c>
      <c r="P50" s="37">
        <f t="shared" si="46"/>
        <v>3.9553081361710065</v>
      </c>
      <c r="Q50" s="37">
        <f t="shared" si="46"/>
        <v>3.4759126154039688</v>
      </c>
      <c r="R50" s="37">
        <f t="shared" si="46"/>
        <v>3.6552061293838505</v>
      </c>
      <c r="S50" s="37">
        <f t="shared" si="46"/>
        <v>4.2649771327058952</v>
      </c>
    </row>
    <row r="51" spans="1:22" s="37" customFormat="1">
      <c r="A51" s="37" t="s">
        <v>79</v>
      </c>
      <c r="B51" s="37">
        <f t="shared" ref="B51:C51" si="47">+B41/B47</f>
        <v>5.9803244735933729</v>
      </c>
      <c r="C51" s="37">
        <f t="shared" si="47"/>
        <v>5.511758417958311</v>
      </c>
      <c r="D51" s="37">
        <f t="shared" ref="D51:E51" si="48">+D41/D47</f>
        <v>3.6115170031880974</v>
      </c>
      <c r="E51" s="37">
        <f t="shared" si="48"/>
        <v>3.037576064233499</v>
      </c>
      <c r="F51" s="37">
        <f t="shared" ref="F51:G51" si="49">+F41/F47</f>
        <v>2.6958127806410226</v>
      </c>
      <c r="G51" s="37">
        <f t="shared" si="49"/>
        <v>2.6095615402686714</v>
      </c>
      <c r="H51" s="37">
        <f t="shared" ref="H51:I51" si="50">+H41/H47</f>
        <v>2.2961144121009913</v>
      </c>
      <c r="I51" s="37">
        <f t="shared" si="50"/>
        <v>2.4238781658145991</v>
      </c>
      <c r="J51" s="37">
        <f t="shared" ref="J51:K51" si="51">+J41/J47</f>
        <v>2.4412598983571683</v>
      </c>
      <c r="K51" s="37">
        <f t="shared" si="51"/>
        <v>2.5247023235512063</v>
      </c>
      <c r="L51" s="37">
        <f t="shared" ref="L51:S51" si="52">+L41/L47</f>
        <v>2.8580934057124536</v>
      </c>
      <c r="M51" s="37">
        <f t="shared" si="52"/>
        <v>3.2312923414413843</v>
      </c>
      <c r="N51" s="37">
        <f t="shared" si="52"/>
        <v>3.7805865270317041</v>
      </c>
      <c r="O51" s="37">
        <f t="shared" si="52"/>
        <v>3.9379696018245158</v>
      </c>
      <c r="P51" s="37">
        <f t="shared" si="52"/>
        <v>3.9553081361710065</v>
      </c>
      <c r="Q51" s="37">
        <f t="shared" si="52"/>
        <v>3.4759126154039688</v>
      </c>
      <c r="R51" s="37">
        <f t="shared" si="52"/>
        <v>3.6552061293838505</v>
      </c>
      <c r="S51" s="37">
        <f t="shared" si="52"/>
        <v>4.2649771327058952</v>
      </c>
    </row>
    <row r="52" spans="1:22" s="37" customFormat="1">
      <c r="A52" s="37" t="s">
        <v>80</v>
      </c>
      <c r="B52" s="37">
        <f t="shared" ref="B52:C52" si="53">+(B41-B44)/B47</f>
        <v>3.6664789346510913</v>
      </c>
      <c r="C52" s="37">
        <f t="shared" si="53"/>
        <v>3.5516936130411545</v>
      </c>
      <c r="D52" s="37">
        <f t="shared" ref="D52:E52" si="54">+(D41-D44)/D47</f>
        <v>1.996097901168969</v>
      </c>
      <c r="E52" s="37">
        <f t="shared" si="54"/>
        <v>1.9899468715463178</v>
      </c>
      <c r="F52" s="37">
        <f t="shared" ref="F52:G52" si="55">+(F41-F44)/F47</f>
        <v>2.3338273352651022</v>
      </c>
      <c r="G52" s="37">
        <f t="shared" si="55"/>
        <v>2.0307541165666447</v>
      </c>
      <c r="H52" s="37">
        <f t="shared" ref="H52:I52" si="56">+(H41-H44)/H47</f>
        <v>2.0296151899683226</v>
      </c>
      <c r="I52" s="37">
        <f t="shared" si="56"/>
        <v>2.1743516274323169</v>
      </c>
      <c r="J52" s="37">
        <f t="shared" ref="J52:K52" si="57">+(J41-J44)/J47</f>
        <v>2.1398179884174451</v>
      </c>
      <c r="K52" s="37">
        <f t="shared" si="57"/>
        <v>2.11557865459381</v>
      </c>
      <c r="L52" s="37">
        <f t="shared" ref="L52:S52" si="58">+(L41-L44)/L47</f>
        <v>2.6749238415905086</v>
      </c>
      <c r="M52" s="37">
        <f t="shared" si="58"/>
        <v>3.199174140267115</v>
      </c>
      <c r="N52" s="37">
        <f t="shared" si="58"/>
        <v>3.5903037963255549</v>
      </c>
      <c r="O52" s="37">
        <f t="shared" si="58"/>
        <v>3.5935767061874193</v>
      </c>
      <c r="P52" s="37">
        <f t="shared" si="58"/>
        <v>3.650799856135353</v>
      </c>
      <c r="Q52" s="37">
        <f t="shared" si="58"/>
        <v>3.4369229801355705</v>
      </c>
      <c r="R52" s="37">
        <f t="shared" si="58"/>
        <v>3.6392575495287502</v>
      </c>
      <c r="S52" s="37">
        <f t="shared" si="58"/>
        <v>4.2349283743432693</v>
      </c>
    </row>
    <row r="53" spans="1:22" s="38" customFormat="1">
      <c r="A53" s="38" t="s">
        <v>81</v>
      </c>
      <c r="B53" s="38">
        <f t="shared" ref="B53:C53" si="59">+B48/B41</f>
        <v>0.35155160628844839</v>
      </c>
      <c r="C53" s="38">
        <f t="shared" si="59"/>
        <v>0.30606969696969699</v>
      </c>
      <c r="D53" s="38">
        <f t="shared" ref="D53:E53" si="60">+D48/D41</f>
        <v>0.51337471264367818</v>
      </c>
      <c r="E53" s="38">
        <f t="shared" si="60"/>
        <v>0.38514849315068489</v>
      </c>
      <c r="F53" s="38">
        <f t="shared" ref="F53:G53" si="61">+F48/F41</f>
        <v>9.0100512820512832E-2</v>
      </c>
      <c r="G53" s="38">
        <f t="shared" si="61"/>
        <v>7.851457800511509E-2</v>
      </c>
      <c r="H53" s="38">
        <f t="shared" ref="H53:I53" si="62">+H48/H41</f>
        <v>7.1910204081632664E-2</v>
      </c>
      <c r="I53" s="38">
        <f t="shared" si="62"/>
        <v>0.10919174948889744</v>
      </c>
      <c r="J53" s="38">
        <f t="shared" ref="J53:K53" si="63">+J48/J41</f>
        <v>8.2681771602398077E-2</v>
      </c>
      <c r="K53" s="38">
        <f t="shared" si="63"/>
        <v>0.10661557760658745</v>
      </c>
      <c r="L53" s="38">
        <f t="shared" ref="L53:S53" si="64">+L48/L41</f>
        <v>2.2038523338796225E-2</v>
      </c>
      <c r="M53" s="38">
        <f t="shared" si="64"/>
        <v>-3.7945920474104361E-2</v>
      </c>
      <c r="N53" s="38">
        <f t="shared" si="64"/>
        <v>4.3481894815604931E-2</v>
      </c>
      <c r="O53" s="38">
        <f t="shared" si="64"/>
        <v>3.8608154797558081E-2</v>
      </c>
      <c r="P53" s="38">
        <f t="shared" si="64"/>
        <v>7.4488609856960999E-2</v>
      </c>
      <c r="Q53" s="38">
        <f t="shared" si="64"/>
        <v>0.20041447588709607</v>
      </c>
      <c r="R53" s="38">
        <f t="shared" si="64"/>
        <v>0.22291166939278464</v>
      </c>
      <c r="S53" s="38">
        <f t="shared" si="64"/>
        <v>0.19649321818351009</v>
      </c>
    </row>
    <row r="54" spans="1:22" s="38" customFormat="1">
      <c r="A54" s="39" t="s">
        <v>82</v>
      </c>
      <c r="B54" s="40"/>
      <c r="C54" s="40"/>
      <c r="D54" s="40"/>
      <c r="E54" s="40"/>
      <c r="F54" s="40"/>
      <c r="G54" s="40"/>
      <c r="H54" s="40"/>
      <c r="I54" s="40"/>
      <c r="J54" s="40"/>
      <c r="K54" s="40"/>
      <c r="L54" s="40"/>
      <c r="M54" s="40"/>
      <c r="N54" s="40"/>
      <c r="O54" s="40"/>
      <c r="P54" s="40"/>
      <c r="Q54" s="40"/>
      <c r="R54" s="40"/>
      <c r="S54" s="40"/>
      <c r="T54" s="40"/>
      <c r="U54" s="40"/>
      <c r="V54" s="39"/>
    </row>
    <row r="55" spans="1:22" s="38" customFormat="1">
      <c r="A55" s="38" t="s">
        <v>83</v>
      </c>
      <c r="B55" s="41">
        <f t="shared" ref="B55:C55" si="65">IF(B42=0,IF(B54="","","*"&amp;TEXT(B54,"0.0x")),(B41+B42-B44)/B47)</f>
        <v>13.880068968079501</v>
      </c>
      <c r="C55" s="41">
        <f t="shared" si="65"/>
        <v>13.944001870657402</v>
      </c>
      <c r="D55" s="41">
        <f t="shared" ref="D55:E55" si="66">IF(D42=0,IF(D54="","","*"&amp;TEXT(D54,"0.0x")),(D41+D42-D44)/D47)</f>
        <v>6.616296059378322</v>
      </c>
      <c r="E55" s="41">
        <f t="shared" si="66"/>
        <v>5.985987317345975</v>
      </c>
      <c r="F55" s="41">
        <f t="shared" ref="F55:G55" si="67">IF(F42=0,IF(F54="","","*"&amp;TEXT(F54,"0.0x")),(F41+F42-F44)/F47)</f>
        <v>5.2581706018713081</v>
      </c>
      <c r="G55" s="41">
        <f t="shared" si="67"/>
        <v>7.3808988199175616</v>
      </c>
      <c r="H55" s="41">
        <f t="shared" ref="H55:I55" si="68">IF(H42=0,IF(H54="","","*"&amp;TEXT(H54,"0.0x")),(H41+H42-H44)/H47)</f>
        <v>8.9520073037056456</v>
      </c>
      <c r="I55" s="41">
        <f t="shared" si="68"/>
        <v>8.0400820413309919</v>
      </c>
      <c r="J55" s="41">
        <f t="shared" ref="J55:O55" si="69">IF(J42=0,IF(J54="","","*"&amp;TEXT(J54,"0.0x")),(J41+J42-J44)/J47)</f>
        <v>8.5784361619981873</v>
      </c>
      <c r="K55" s="41">
        <f t="shared" si="69"/>
        <v>9.6416786265772032</v>
      </c>
      <c r="L55" s="41">
        <f t="shared" si="69"/>
        <v>9.069740586820588</v>
      </c>
      <c r="M55" s="41">
        <f t="shared" si="69"/>
        <v>11.769922229821281</v>
      </c>
      <c r="N55" s="41">
        <f t="shared" si="69"/>
        <v>13.772577174649035</v>
      </c>
      <c r="O55" s="41">
        <f t="shared" si="69"/>
        <v>11.611471328240937</v>
      </c>
      <c r="P55" s="41">
        <f t="shared" ref="P55:U55" si="70">IF(P42=0,IF(P54="","","*"&amp;TEXT(P54,"0.0x")),(P41+P42-P44)/P47)</f>
        <v>12.214941372656321</v>
      </c>
      <c r="Q55" s="41">
        <f t="shared" si="70"/>
        <v>11.061842374294192</v>
      </c>
      <c r="R55" s="41">
        <f t="shared" si="70"/>
        <v>11.409982688978634</v>
      </c>
      <c r="S55" s="41">
        <f t="shared" si="70"/>
        <v>13.396964886419457</v>
      </c>
      <c r="T55" s="41" t="str">
        <f t="shared" si="70"/>
        <v/>
      </c>
      <c r="U55" s="41" t="str">
        <f t="shared" si="70"/>
        <v/>
      </c>
      <c r="V55" s="41" t="str">
        <f>IF(V42=0,IF(V54="","",CONCATENATE("* ",V54,"x")),(V41+V42-V44)/V47)</f>
        <v/>
      </c>
    </row>
    <row r="56" spans="1:22">
      <c r="U56" s="42"/>
    </row>
    <row r="57" spans="1:22" ht="80.25" customHeight="1">
      <c r="A57" s="43" t="s">
        <v>84</v>
      </c>
      <c r="B57" s="44" t="s">
        <v>290</v>
      </c>
      <c r="C57" s="44" t="s">
        <v>301</v>
      </c>
      <c r="D57" s="44" t="s">
        <v>290</v>
      </c>
      <c r="E57" s="44" t="s">
        <v>290</v>
      </c>
      <c r="F57" s="44" t="s">
        <v>290</v>
      </c>
      <c r="G57" s="44" t="s">
        <v>301</v>
      </c>
      <c r="H57" s="44" t="s">
        <v>290</v>
      </c>
      <c r="I57" s="44" t="s">
        <v>290</v>
      </c>
      <c r="J57" s="44" t="s">
        <v>290</v>
      </c>
      <c r="K57" s="44" t="s">
        <v>301</v>
      </c>
      <c r="L57" s="44" t="s">
        <v>290</v>
      </c>
      <c r="M57" s="44"/>
      <c r="N57" s="44"/>
      <c r="O57" s="44"/>
      <c r="P57" s="44" t="s">
        <v>290</v>
      </c>
      <c r="Q57" s="44" t="s">
        <v>90</v>
      </c>
      <c r="R57" s="44"/>
      <c r="S57" s="44"/>
      <c r="T57" s="44"/>
      <c r="U57" s="44"/>
      <c r="V57" s="44"/>
    </row>
    <row r="58" spans="1:22">
      <c r="A58" s="45"/>
      <c r="B58" s="42"/>
      <c r="C58" s="42"/>
      <c r="D58" s="42"/>
      <c r="E58" s="42"/>
      <c r="F58" s="42"/>
      <c r="G58" s="42"/>
      <c r="H58" s="42"/>
      <c r="I58" s="42"/>
      <c r="J58" s="42"/>
      <c r="K58" s="42"/>
      <c r="L58" s="42"/>
      <c r="M58" s="42"/>
      <c r="N58" s="42"/>
      <c r="O58" s="42"/>
      <c r="P58" s="42"/>
      <c r="Q58" s="42"/>
    </row>
    <row r="59" spans="1:22">
      <c r="A59" s="45"/>
    </row>
  </sheetData>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Y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8" width="10.6640625" style="14" customWidth="1"/>
    <col min="19" max="16384" width="9.109375" style="14"/>
  </cols>
  <sheetData>
    <row r="2" spans="1:21">
      <c r="A2" s="13" t="s">
        <v>44</v>
      </c>
      <c r="B2" s="14" t="s">
        <v>214</v>
      </c>
    </row>
    <row r="3" spans="1:21" s="16" customFormat="1">
      <c r="A3" s="15" t="s">
        <v>45</v>
      </c>
      <c r="B3" s="16" t="s">
        <v>215</v>
      </c>
    </row>
    <row r="4" spans="1:21">
      <c r="A4" s="13" t="s">
        <v>2</v>
      </c>
      <c r="B4" s="14" t="s">
        <v>4</v>
      </c>
    </row>
    <row r="5" spans="1:21">
      <c r="A5" s="13" t="s">
        <v>46</v>
      </c>
    </row>
    <row r="6" spans="1:21">
      <c r="A6" s="13" t="s">
        <v>47</v>
      </c>
    </row>
    <row r="7" spans="1:21">
      <c r="A7" s="13" t="s">
        <v>48</v>
      </c>
      <c r="B7" s="14" t="s">
        <v>464</v>
      </c>
    </row>
    <row r="8" spans="1:21">
      <c r="A8" s="13" t="s">
        <v>347</v>
      </c>
      <c r="B8" s="14" t="s">
        <v>389</v>
      </c>
    </row>
    <row r="9" spans="1:21">
      <c r="A9" s="17"/>
    </row>
    <row r="10" spans="1:21">
      <c r="A10" s="17" t="s">
        <v>49</v>
      </c>
      <c r="B10" s="18">
        <v>44286</v>
      </c>
      <c r="C10" s="18">
        <v>44196</v>
      </c>
      <c r="D10" s="18">
        <v>44104</v>
      </c>
      <c r="E10" s="18">
        <v>44012</v>
      </c>
      <c r="F10" s="18">
        <v>43921</v>
      </c>
      <c r="G10" s="18">
        <v>43830</v>
      </c>
      <c r="H10" s="18">
        <v>43738</v>
      </c>
      <c r="I10" s="18">
        <v>43646</v>
      </c>
      <c r="J10" s="18">
        <v>43555</v>
      </c>
      <c r="K10" s="18">
        <v>43465</v>
      </c>
      <c r="L10" s="18">
        <v>43373</v>
      </c>
      <c r="M10" s="18">
        <v>43281</v>
      </c>
      <c r="N10" s="18">
        <v>43190</v>
      </c>
      <c r="O10" s="18">
        <v>43100</v>
      </c>
      <c r="P10" s="18">
        <f>EOMONTH(O10,-3)</f>
        <v>43008</v>
      </c>
      <c r="Q10" s="18">
        <f t="shared" ref="Q10:R10" si="0">EOMONTH(P10,-3)</f>
        <v>42916</v>
      </c>
      <c r="R10" s="18">
        <f t="shared" si="0"/>
        <v>42825</v>
      </c>
    </row>
    <row r="11" spans="1:21">
      <c r="B11" s="33"/>
      <c r="C11" s="33"/>
      <c r="D11" s="33"/>
      <c r="E11" s="33"/>
    </row>
    <row r="12" spans="1:21">
      <c r="A12" s="19" t="s">
        <v>50</v>
      </c>
      <c r="B12" s="20"/>
      <c r="C12" s="20">
        <f>1424.6-D12-E12-F12</f>
        <v>414.9099999999998</v>
      </c>
      <c r="D12" s="20">
        <v>389.54500000000002</v>
      </c>
      <c r="E12" s="20">
        <v>324.10399999999998</v>
      </c>
      <c r="F12" s="20">
        <v>296.041</v>
      </c>
      <c r="G12" s="20">
        <f>1251.503-H12-I12-J12</f>
        <v>323.97999999999985</v>
      </c>
      <c r="H12" s="20">
        <v>320.93900000000002</v>
      </c>
      <c r="I12" s="20">
        <v>313.68099999999998</v>
      </c>
      <c r="J12" s="20">
        <v>292.90299999999996</v>
      </c>
      <c r="K12" s="36">
        <f>1089.714-L12-M12-N12</f>
        <v>299.77299999999991</v>
      </c>
      <c r="L12" s="20">
        <v>307.822</v>
      </c>
      <c r="M12" s="20">
        <v>299.94499999999999</v>
      </c>
      <c r="N12" s="20">
        <v>182.17400000000004</v>
      </c>
      <c r="O12" s="20">
        <f>589.233-P12-Q12-R12</f>
        <v>166.266775</v>
      </c>
      <c r="P12" s="20">
        <v>151.26499999999999</v>
      </c>
      <c r="Q12" s="20">
        <v>143.86600000000001</v>
      </c>
      <c r="R12" s="20">
        <v>127.83522499999999</v>
      </c>
      <c r="U12" s="153"/>
    </row>
    <row r="13" spans="1:21" s="21" customFormat="1">
      <c r="A13" s="21" t="s">
        <v>51</v>
      </c>
      <c r="C13" s="21">
        <f t="shared" ref="C13:N13" si="1">+C12/G12-1</f>
        <v>0.28066547317735657</v>
      </c>
      <c r="D13" s="21">
        <f t="shared" si="1"/>
        <v>0.21376647898821899</v>
      </c>
      <c r="E13" s="21">
        <f t="shared" si="1"/>
        <v>3.3228024649245569E-2</v>
      </c>
      <c r="F13" s="21">
        <f t="shared" si="1"/>
        <v>1.0713444382611348E-2</v>
      </c>
      <c r="G13" s="21">
        <f t="shared" si="1"/>
        <v>8.0751101666927783E-2</v>
      </c>
      <c r="H13" s="21">
        <f t="shared" si="1"/>
        <v>4.2612288920220287E-2</v>
      </c>
      <c r="I13" s="21">
        <f t="shared" si="1"/>
        <v>4.5795062428111821E-2</v>
      </c>
      <c r="J13" s="21">
        <f t="shared" si="1"/>
        <v>0.60781999626730432</v>
      </c>
      <c r="K13" s="21">
        <f t="shared" si="1"/>
        <v>0.8029639415331169</v>
      </c>
      <c r="L13" s="21">
        <f t="shared" si="1"/>
        <v>1.0349849601692398</v>
      </c>
      <c r="M13" s="21">
        <f t="shared" si="1"/>
        <v>1.0848914962534577</v>
      </c>
      <c r="N13" s="21">
        <f t="shared" si="1"/>
        <v>0.4250688728400176</v>
      </c>
      <c r="U13" s="153"/>
    </row>
    <row r="14" spans="1:21" s="24" customFormat="1">
      <c r="A14" s="22" t="s">
        <v>52</v>
      </c>
      <c r="B14" s="66"/>
      <c r="C14" s="66" t="s">
        <v>3</v>
      </c>
      <c r="D14" s="66">
        <v>4.1000000000000002E-2</v>
      </c>
      <c r="E14" s="66">
        <v>-9.9000000000000005E-2</v>
      </c>
      <c r="F14" s="66">
        <v>-6.4000000000000001E-2</v>
      </c>
      <c r="G14" s="66" t="s">
        <v>3</v>
      </c>
      <c r="H14" s="66">
        <v>2.5000000000000001E-2</v>
      </c>
      <c r="I14" s="23" t="s">
        <v>3</v>
      </c>
      <c r="J14" s="23" t="s">
        <v>3</v>
      </c>
      <c r="K14" s="23" t="s">
        <v>3</v>
      </c>
      <c r="L14" s="23" t="s">
        <v>3</v>
      </c>
      <c r="M14" s="23" t="s">
        <v>3</v>
      </c>
      <c r="N14" s="23" t="s">
        <v>3</v>
      </c>
      <c r="O14" s="23"/>
      <c r="P14" s="23"/>
      <c r="Q14" s="23"/>
      <c r="R14" s="23"/>
      <c r="U14" s="152"/>
    </row>
    <row r="15" spans="1:21">
      <c r="K15" s="48"/>
    </row>
    <row r="16" spans="1:21" s="17" customFormat="1">
      <c r="A16" s="25" t="s">
        <v>53</v>
      </c>
      <c r="B16" s="26"/>
      <c r="C16" s="26">
        <f>77.969+12.118+85.553+14.667+8.61-D16-E16-F16</f>
        <v>64.069999999999965</v>
      </c>
      <c r="D16" s="26">
        <v>65.221000000000004</v>
      </c>
      <c r="E16" s="26">
        <v>46.064999999999998</v>
      </c>
      <c r="F16" s="26">
        <v>23.561</v>
      </c>
      <c r="G16" s="26">
        <f>59.002+8.837+75.289+8.445+8.928-H16-I16-J16</f>
        <v>47.349999999999966</v>
      </c>
      <c r="H16" s="26">
        <v>39.555</v>
      </c>
      <c r="I16" s="26">
        <v>37.171999999999997</v>
      </c>
      <c r="J16" s="26">
        <v>36.424000000000007</v>
      </c>
      <c r="K16" s="26">
        <f>26.865+37.426+63.277+5.445-0.17-L16-M16-N16</f>
        <v>25.680000000000028</v>
      </c>
      <c r="L16" s="26">
        <v>43.527999999999999</v>
      </c>
      <c r="M16" s="26">
        <v>42.451000000000001</v>
      </c>
      <c r="N16" s="26">
        <v>21.183999999999997</v>
      </c>
      <c r="O16" s="26">
        <f>51.217+28.022-P16-Q16-R16</f>
        <v>27.251000000000008</v>
      </c>
      <c r="P16" s="26">
        <f>30.983+21.005-Q16-R16</f>
        <v>21.310999999999996</v>
      </c>
      <c r="Q16" s="26">
        <f>16.738+13.939-R16</f>
        <v>18.152398999999999</v>
      </c>
      <c r="R16" s="26">
        <f>5.574257+6.950344</f>
        <v>12.524601000000001</v>
      </c>
      <c r="T16" s="14"/>
      <c r="U16" s="154"/>
    </row>
    <row r="17" spans="1:25" s="21" customFormat="1">
      <c r="A17" s="21" t="s">
        <v>54</v>
      </c>
      <c r="C17" s="21">
        <f t="shared" ref="C17:D17" si="2">+C16/C12</f>
        <v>0.15441903063314935</v>
      </c>
      <c r="D17" s="21">
        <f t="shared" si="2"/>
        <v>0.16742866677790755</v>
      </c>
      <c r="E17" s="21">
        <f t="shared" ref="E17:F17" si="3">+E16/E12</f>
        <v>0.1421303038530842</v>
      </c>
      <c r="F17" s="21">
        <f t="shared" si="3"/>
        <v>7.958694910502262E-2</v>
      </c>
      <c r="G17" s="21">
        <f t="shared" ref="G17:N17" si="4">+G16/G12</f>
        <v>0.14615099697512188</v>
      </c>
      <c r="H17" s="21">
        <f t="shared" si="4"/>
        <v>0.12324771997170801</v>
      </c>
      <c r="I17" s="21">
        <f t="shared" si="4"/>
        <v>0.11850255514360129</v>
      </c>
      <c r="J17" s="21">
        <f t="shared" si="4"/>
        <v>0.12435516194781211</v>
      </c>
      <c r="K17" s="21">
        <f t="shared" si="4"/>
        <v>8.5664819713583404E-2</v>
      </c>
      <c r="L17" s="21">
        <f t="shared" si="4"/>
        <v>0.1414063972035787</v>
      </c>
      <c r="M17" s="21">
        <f t="shared" si="4"/>
        <v>0.14152928036806747</v>
      </c>
      <c r="N17" s="21">
        <f t="shared" si="4"/>
        <v>0.11628443136781315</v>
      </c>
      <c r="O17" s="21">
        <f t="shared" ref="O17:R17" si="5">+O16/O12</f>
        <v>0.16389925166949326</v>
      </c>
      <c r="P17" s="21">
        <f t="shared" si="5"/>
        <v>0.14088520146762304</v>
      </c>
      <c r="Q17" s="21">
        <f t="shared" si="5"/>
        <v>0.12617573992465209</v>
      </c>
      <c r="R17" s="21">
        <f t="shared" si="5"/>
        <v>9.7974568433700504E-2</v>
      </c>
    </row>
    <row r="18" spans="1:25" s="24" customFormat="1"/>
    <row r="19" spans="1:25" s="24" customFormat="1">
      <c r="A19" s="19" t="s">
        <v>55</v>
      </c>
      <c r="B19" s="20"/>
      <c r="C19" s="20">
        <v>0</v>
      </c>
      <c r="D19" s="20">
        <v>0</v>
      </c>
      <c r="E19" s="20">
        <v>0</v>
      </c>
      <c r="F19" s="20">
        <v>0</v>
      </c>
      <c r="G19" s="20">
        <v>0</v>
      </c>
      <c r="H19" s="20">
        <v>0</v>
      </c>
      <c r="I19" s="20">
        <v>0</v>
      </c>
      <c r="J19" s="20">
        <v>0</v>
      </c>
      <c r="K19" s="20">
        <v>0</v>
      </c>
      <c r="L19" s="20">
        <v>0</v>
      </c>
      <c r="M19" s="20">
        <v>0</v>
      </c>
      <c r="N19" s="20">
        <v>0</v>
      </c>
      <c r="O19" s="20">
        <f>0-P19-Q19-R19</f>
        <v>-0.77500000000000002</v>
      </c>
      <c r="P19" s="20">
        <f>0.775-Q19-R19</f>
        <v>0.77500000000000002</v>
      </c>
      <c r="Q19" s="20">
        <f>0-R19</f>
        <v>0</v>
      </c>
      <c r="R19" s="20">
        <v>0</v>
      </c>
      <c r="X19" s="105"/>
    </row>
    <row r="20" spans="1:25" s="24" customFormat="1">
      <c r="A20" s="19" t="s">
        <v>56</v>
      </c>
      <c r="B20" s="20"/>
      <c r="C20" s="20">
        <v>0</v>
      </c>
      <c r="D20" s="20">
        <v>0</v>
      </c>
      <c r="E20" s="20">
        <v>0</v>
      </c>
      <c r="F20" s="20">
        <v>0</v>
      </c>
      <c r="G20" s="20">
        <v>0</v>
      </c>
      <c r="H20" s="20">
        <v>0</v>
      </c>
      <c r="I20" s="20">
        <v>0</v>
      </c>
      <c r="J20" s="20">
        <v>0</v>
      </c>
      <c r="K20" s="20">
        <v>0</v>
      </c>
      <c r="L20" s="20">
        <v>0</v>
      </c>
      <c r="M20" s="20">
        <v>0</v>
      </c>
      <c r="N20" s="20">
        <v>0</v>
      </c>
      <c r="O20" s="20">
        <v>0</v>
      </c>
      <c r="P20" s="20">
        <v>0</v>
      </c>
      <c r="Q20" s="20">
        <v>0</v>
      </c>
      <c r="R20" s="20">
        <v>0</v>
      </c>
      <c r="T20" s="152"/>
      <c r="U20" s="152"/>
      <c r="X20" s="105"/>
    </row>
    <row r="21" spans="1:25" s="24" customFormat="1">
      <c r="A21" s="19" t="s">
        <v>57</v>
      </c>
      <c r="B21" s="20"/>
      <c r="C21" s="20">
        <v>0</v>
      </c>
      <c r="D21" s="20">
        <v>0</v>
      </c>
      <c r="E21" s="20">
        <v>0</v>
      </c>
      <c r="F21" s="20">
        <v>0</v>
      </c>
      <c r="G21" s="20">
        <v>0</v>
      </c>
      <c r="H21" s="20">
        <v>0</v>
      </c>
      <c r="I21" s="20">
        <v>0</v>
      </c>
      <c r="J21" s="20">
        <v>0</v>
      </c>
      <c r="K21" s="20">
        <v>0</v>
      </c>
      <c r="L21" s="20">
        <v>0</v>
      </c>
      <c r="M21" s="20">
        <v>0</v>
      </c>
      <c r="N21" s="20">
        <v>0</v>
      </c>
      <c r="O21" s="20">
        <v>0</v>
      </c>
      <c r="P21" s="20">
        <v>0</v>
      </c>
      <c r="Q21" s="20">
        <v>0</v>
      </c>
      <c r="R21" s="20">
        <v>0</v>
      </c>
      <c r="X21" s="105"/>
    </row>
    <row r="22" spans="1:25" s="17" customFormat="1">
      <c r="A22" s="17" t="s">
        <v>58</v>
      </c>
      <c r="B22" s="27"/>
      <c r="C22" s="27">
        <f t="shared" ref="C22:D22" si="6">SUM(C16,C19:C21)</f>
        <v>64.069999999999965</v>
      </c>
      <c r="D22" s="27">
        <f t="shared" si="6"/>
        <v>65.221000000000004</v>
      </c>
      <c r="E22" s="27">
        <f t="shared" ref="E22:F22" si="7">SUM(E16,E19:E21)</f>
        <v>46.064999999999998</v>
      </c>
      <c r="F22" s="27">
        <f t="shared" si="7"/>
        <v>23.561</v>
      </c>
      <c r="G22" s="27">
        <f t="shared" ref="G22:O22" si="8">SUM(G16,G19:G21)</f>
        <v>47.349999999999966</v>
      </c>
      <c r="H22" s="27">
        <f t="shared" si="8"/>
        <v>39.555</v>
      </c>
      <c r="I22" s="27">
        <f t="shared" si="8"/>
        <v>37.171999999999997</v>
      </c>
      <c r="J22" s="27">
        <f t="shared" si="8"/>
        <v>36.424000000000007</v>
      </c>
      <c r="K22" s="27">
        <f t="shared" si="8"/>
        <v>25.680000000000028</v>
      </c>
      <c r="L22" s="27">
        <f t="shared" si="8"/>
        <v>43.527999999999999</v>
      </c>
      <c r="M22" s="27">
        <f t="shared" si="8"/>
        <v>42.451000000000001</v>
      </c>
      <c r="N22" s="27">
        <f t="shared" si="8"/>
        <v>21.183999999999997</v>
      </c>
      <c r="O22" s="27">
        <f t="shared" si="8"/>
        <v>26.47600000000001</v>
      </c>
      <c r="P22" s="27">
        <f t="shared" ref="P22:R22" si="9">SUM(P16,P19:P21)</f>
        <v>22.085999999999995</v>
      </c>
      <c r="Q22" s="27">
        <f t="shared" si="9"/>
        <v>18.152398999999999</v>
      </c>
      <c r="R22" s="27">
        <f t="shared" si="9"/>
        <v>12.524601000000001</v>
      </c>
      <c r="T22" s="154"/>
      <c r="U22" s="154"/>
      <c r="V22" s="14"/>
      <c r="W22" s="14"/>
      <c r="X22" s="90"/>
    </row>
    <row r="23" spans="1:25" s="17" customFormat="1">
      <c r="B23" s="21"/>
      <c r="C23" s="21"/>
      <c r="D23" s="21"/>
      <c r="E23" s="21"/>
      <c r="F23" s="21"/>
      <c r="G23" s="21"/>
      <c r="H23" s="21"/>
      <c r="I23" s="21"/>
      <c r="J23" s="21"/>
      <c r="K23" s="21"/>
      <c r="L23" s="21"/>
      <c r="M23" s="27"/>
      <c r="N23" s="27"/>
      <c r="O23" s="27"/>
      <c r="P23" s="27"/>
      <c r="Q23" s="27"/>
      <c r="R23" s="27"/>
      <c r="T23" s="21"/>
      <c r="V23" s="14"/>
      <c r="W23" s="14"/>
      <c r="X23" s="90"/>
      <c r="Y23" s="106"/>
    </row>
    <row r="24" spans="1:25" s="17" customFormat="1">
      <c r="A24" s="17" t="s">
        <v>59</v>
      </c>
      <c r="B24" s="65"/>
      <c r="C24" s="65">
        <f>D24+C22-G22</f>
        <v>277.416</v>
      </c>
      <c r="D24" s="65">
        <f>E24+D22-H22</f>
        <v>260.69599999999997</v>
      </c>
      <c r="E24" s="65">
        <f>F24+E22-I22</f>
        <v>235.03</v>
      </c>
      <c r="F24" s="65">
        <f>G24+F22-J22</f>
        <v>226.13699999999997</v>
      </c>
      <c r="G24" s="46">
        <v>239</v>
      </c>
      <c r="H24" s="27">
        <f>I24+H22-L22</f>
        <v>272.988</v>
      </c>
      <c r="I24" s="27">
        <f>J24+I22-M22</f>
        <v>276.96100000000001</v>
      </c>
      <c r="J24" s="27">
        <f>K24+J22-N22</f>
        <v>282.24</v>
      </c>
      <c r="K24" s="46">
        <v>267</v>
      </c>
      <c r="L24" s="27"/>
      <c r="M24" s="27"/>
      <c r="N24" s="27"/>
      <c r="O24" s="46">
        <v>113.4</v>
      </c>
      <c r="P24" s="27"/>
      <c r="Q24" s="27"/>
      <c r="R24" s="27"/>
      <c r="S24" s="114"/>
      <c r="T24" s="106"/>
      <c r="V24" s="14"/>
      <c r="W24" s="14"/>
      <c r="X24" s="90"/>
      <c r="Y24" s="106"/>
    </row>
    <row r="25" spans="1:25" s="24" customFormat="1">
      <c r="A25" s="19" t="s">
        <v>60</v>
      </c>
      <c r="B25" s="28"/>
      <c r="C25" s="28">
        <f>365-C24</f>
        <v>87.584000000000003</v>
      </c>
      <c r="D25" s="28">
        <v>0</v>
      </c>
      <c r="E25" s="28">
        <v>0</v>
      </c>
      <c r="F25" s="28">
        <v>0</v>
      </c>
      <c r="G25" s="28">
        <f>239-G24</f>
        <v>0</v>
      </c>
      <c r="H25" s="28">
        <v>0</v>
      </c>
      <c r="I25" s="28">
        <v>0</v>
      </c>
      <c r="J25" s="28">
        <v>0</v>
      </c>
      <c r="K25" s="28">
        <v>0</v>
      </c>
      <c r="L25" s="28"/>
      <c r="M25" s="28"/>
      <c r="N25" s="28"/>
      <c r="O25" s="28">
        <v>46</v>
      </c>
      <c r="P25" s="28"/>
      <c r="Q25" s="28"/>
      <c r="R25" s="28"/>
      <c r="S25" s="114"/>
      <c r="T25" s="21"/>
      <c r="V25" s="32"/>
      <c r="X25" s="106"/>
    </row>
    <row r="26" spans="1:25" s="24" customFormat="1">
      <c r="A26" s="19" t="s">
        <v>61</v>
      </c>
      <c r="B26" s="29"/>
      <c r="C26" s="29">
        <f>385-C25-C24</f>
        <v>20</v>
      </c>
      <c r="D26" s="29">
        <v>0</v>
      </c>
      <c r="E26" s="29">
        <v>0</v>
      </c>
      <c r="F26" s="29">
        <v>0</v>
      </c>
      <c r="G26" s="29">
        <v>0</v>
      </c>
      <c r="H26" s="29">
        <v>0</v>
      </c>
      <c r="I26" s="29">
        <v>0</v>
      </c>
      <c r="J26" s="29">
        <v>0</v>
      </c>
      <c r="K26" s="29">
        <v>0</v>
      </c>
      <c r="L26" s="29"/>
      <c r="M26" s="29"/>
      <c r="N26" s="29"/>
      <c r="O26" s="29">
        <f>204.4-O25-O24</f>
        <v>45</v>
      </c>
      <c r="P26" s="29"/>
      <c r="Q26" s="29"/>
      <c r="R26" s="29"/>
      <c r="S26" s="114"/>
    </row>
    <row r="27" spans="1:25" s="32" customFormat="1">
      <c r="A27" s="17" t="s">
        <v>62</v>
      </c>
      <c r="B27" s="27"/>
      <c r="C27" s="27">
        <f t="shared" ref="C27" si="10">C24+C25+C26</f>
        <v>385</v>
      </c>
      <c r="D27" s="27">
        <f t="shared" ref="D27:E27" si="11">D24+D25+D26</f>
        <v>260.69599999999997</v>
      </c>
      <c r="E27" s="27">
        <f t="shared" si="11"/>
        <v>235.03</v>
      </c>
      <c r="F27" s="27">
        <f t="shared" ref="F27:K27" si="12">F24+F25+F26</f>
        <v>226.13699999999997</v>
      </c>
      <c r="G27" s="27">
        <f t="shared" si="12"/>
        <v>239</v>
      </c>
      <c r="H27" s="27">
        <f t="shared" si="12"/>
        <v>272.988</v>
      </c>
      <c r="I27" s="27">
        <f t="shared" si="12"/>
        <v>276.96100000000001</v>
      </c>
      <c r="J27" s="27">
        <f t="shared" si="12"/>
        <v>282.24</v>
      </c>
      <c r="K27" s="27">
        <f t="shared" si="12"/>
        <v>267</v>
      </c>
      <c r="L27" s="27"/>
      <c r="M27" s="27"/>
      <c r="N27" s="27"/>
      <c r="O27" s="27">
        <f t="shared" ref="O27" si="13">SUM(O24:O26)</f>
        <v>204.4</v>
      </c>
      <c r="P27" s="27"/>
      <c r="Q27" s="27"/>
      <c r="R27" s="27"/>
    </row>
    <row r="28" spans="1:25" s="24" customFormat="1"/>
    <row r="29" spans="1:25" s="17" customFormat="1">
      <c r="A29" s="17" t="s">
        <v>58</v>
      </c>
      <c r="B29" s="27"/>
      <c r="C29" s="27">
        <f t="shared" ref="C29" si="14">C22</f>
        <v>64.069999999999965</v>
      </c>
      <c r="D29" s="27">
        <f t="shared" ref="D29:E29" si="15">D22</f>
        <v>65.221000000000004</v>
      </c>
      <c r="E29" s="27">
        <f t="shared" si="15"/>
        <v>46.064999999999998</v>
      </c>
      <c r="F29" s="27">
        <f t="shared" ref="F29:N29" si="16">F22</f>
        <v>23.561</v>
      </c>
      <c r="G29" s="27">
        <f t="shared" si="16"/>
        <v>47.349999999999966</v>
      </c>
      <c r="H29" s="27">
        <f t="shared" si="16"/>
        <v>39.555</v>
      </c>
      <c r="I29" s="27">
        <f t="shared" si="16"/>
        <v>37.171999999999997</v>
      </c>
      <c r="J29" s="27">
        <f t="shared" si="16"/>
        <v>36.424000000000007</v>
      </c>
      <c r="K29" s="27">
        <f t="shared" si="16"/>
        <v>25.680000000000028</v>
      </c>
      <c r="L29" s="27">
        <f t="shared" si="16"/>
        <v>43.527999999999999</v>
      </c>
      <c r="M29" s="27">
        <f t="shared" si="16"/>
        <v>42.451000000000001</v>
      </c>
      <c r="N29" s="27">
        <f t="shared" si="16"/>
        <v>21.183999999999997</v>
      </c>
      <c r="O29" s="27">
        <f t="shared" ref="O29:R29" si="17">O22</f>
        <v>26.47600000000001</v>
      </c>
      <c r="P29" s="27">
        <f t="shared" si="17"/>
        <v>22.085999999999995</v>
      </c>
      <c r="Q29" s="27">
        <f t="shared" si="17"/>
        <v>18.152398999999999</v>
      </c>
      <c r="R29" s="27">
        <f t="shared" si="17"/>
        <v>12.524601000000001</v>
      </c>
    </row>
    <row r="30" spans="1:25" s="33" customFormat="1">
      <c r="A30" s="20" t="s">
        <v>63</v>
      </c>
      <c r="B30" s="20"/>
      <c r="C30" s="20">
        <f>-106.442-D30-E30-F30</f>
        <v>-23.9</v>
      </c>
      <c r="D30" s="20">
        <v>-25.198</v>
      </c>
      <c r="E30" s="20">
        <v>-28.173999999999999</v>
      </c>
      <c r="F30" s="20">
        <v>-29.17</v>
      </c>
      <c r="G30" s="20">
        <f>-119.375-H30-I30-J30</f>
        <v>-27.749999999999996</v>
      </c>
      <c r="H30" s="20">
        <v>-30.562999999999999</v>
      </c>
      <c r="I30" s="20">
        <v>-31.164000000000001</v>
      </c>
      <c r="J30" s="20">
        <v>-29.898</v>
      </c>
      <c r="K30" s="20"/>
      <c r="L30" s="20"/>
      <c r="M30" s="20"/>
      <c r="N30" s="20"/>
      <c r="O30" s="20">
        <f>-33.575-P30-Q30-R30</f>
        <v>-7.1088300000000046</v>
      </c>
      <c r="P30" s="20">
        <v>-8.9090000000000007</v>
      </c>
      <c r="Q30" s="20">
        <v>-8.8249999999999993</v>
      </c>
      <c r="R30" s="20">
        <v>-8.73217</v>
      </c>
    </row>
    <row r="31" spans="1:25" s="33" customFormat="1">
      <c r="A31" s="20" t="s">
        <v>64</v>
      </c>
      <c r="B31" s="20"/>
      <c r="C31" s="20">
        <f>-1.107-D31-E31-F31</f>
        <v>-0.3</v>
      </c>
      <c r="D31" s="20">
        <v>-0.29099999999999998</v>
      </c>
      <c r="E31" s="20">
        <v>-0.19900000000000001</v>
      </c>
      <c r="F31" s="20">
        <v>-0.317</v>
      </c>
      <c r="G31" s="20">
        <f>-0.988-H31-I31-J31</f>
        <v>-0.23799999999999996</v>
      </c>
      <c r="H31" s="20">
        <v>-0.27500000000000002</v>
      </c>
      <c r="I31" s="20">
        <v>-0.254</v>
      </c>
      <c r="J31" s="20">
        <v>-0.221</v>
      </c>
      <c r="K31" s="20"/>
      <c r="L31" s="20"/>
      <c r="M31" s="20"/>
      <c r="N31" s="20"/>
      <c r="O31" s="20">
        <f>-0.134-P31-Q31-R31</f>
        <v>-0.13400000000000001</v>
      </c>
      <c r="P31" s="20">
        <v>0</v>
      </c>
      <c r="Q31" s="20">
        <v>0</v>
      </c>
      <c r="R31" s="20">
        <v>0</v>
      </c>
    </row>
    <row r="32" spans="1:25" s="33" customFormat="1">
      <c r="A32" s="20" t="s">
        <v>65</v>
      </c>
      <c r="B32" s="20"/>
      <c r="C32" s="20">
        <f>0.059+7.627-0.122-6.743+22.466-0.475-D32-E32-F32</f>
        <v>-6.9470000000000027</v>
      </c>
      <c r="D32" s="20">
        <f>-2.765-23.453+0.802+35.387+8.951+5.657</f>
        <v>24.579000000000001</v>
      </c>
      <c r="E32" s="20">
        <f>1.57+32.71+2.998-47.333+16.366+1.26</f>
        <v>7.5709999999999997</v>
      </c>
      <c r="F32" s="20">
        <f>-0.625-4.586-4.457+12.862-4.376-1.209</f>
        <v>-2.3909999999999996</v>
      </c>
      <c r="G32" s="20">
        <f>1.276-18.147-1.667+23.784+8.57+3.092-H32-I32-J32</f>
        <v>4.1839999999999957</v>
      </c>
      <c r="H32" s="20">
        <f>0.06+2.371-2.591-2.106+2.673+1.143</f>
        <v>1.55</v>
      </c>
      <c r="I32" s="20">
        <f>-0.247+12.643+2.185-16.939+0.131+0.525</f>
        <v>-1.7019999999999986</v>
      </c>
      <c r="J32" s="20">
        <f>-2.172-16.349-3.563+31.773+5.532-2.345</f>
        <v>12.875999999999999</v>
      </c>
      <c r="K32" s="20">
        <f>2.878-20.965+2.775+27.821-2.129+2.7-L32-M32-N32</f>
        <v>43.265000000000001</v>
      </c>
      <c r="L32" s="20">
        <f>0.267-5.291+1.313-7.637-2.485+0.244</f>
        <v>-13.588999999999999</v>
      </c>
      <c r="M32" s="20">
        <f>-2.863-2.61+2.132+17.482-7.688-0.446</f>
        <v>6.0070000000000006</v>
      </c>
      <c r="N32" s="20">
        <f>2.565-3.969-0.885+8.856-28.738-0.432</f>
        <v>-22.602999999999998</v>
      </c>
      <c r="O32" s="20">
        <f>-0.562-4.928+0.69+1.733+1.122+2.141-P32-Q32-R32</f>
        <v>-0.65616700000000083</v>
      </c>
      <c r="P32" s="20">
        <f>-1.413-4.824-1.478+0.004+6.746</f>
        <v>-0.96499999999999986</v>
      </c>
      <c r="Q32" s="20">
        <f>-0.21-0.951+1.645+0.674+7.181</f>
        <v>8.3390000000000004</v>
      </c>
      <c r="R32" s="20">
        <f>2.021218-2.861346-0.189481+0.205871-5.698095</f>
        <v>-6.521833</v>
      </c>
    </row>
    <row r="33" spans="1:23" s="33" customFormat="1">
      <c r="A33" s="20" t="s">
        <v>66</v>
      </c>
      <c r="B33" s="20"/>
      <c r="C33" s="20">
        <f t="shared" ref="C33:D33" si="18">-C19-C20-C21</f>
        <v>0</v>
      </c>
      <c r="D33" s="20">
        <f t="shared" si="18"/>
        <v>0</v>
      </c>
      <c r="E33" s="20">
        <f t="shared" ref="E33:J33" si="19">-E19-E20-E21</f>
        <v>0</v>
      </c>
      <c r="F33" s="20">
        <f t="shared" si="19"/>
        <v>0</v>
      </c>
      <c r="G33" s="20">
        <f t="shared" si="19"/>
        <v>0</v>
      </c>
      <c r="H33" s="20">
        <f t="shared" si="19"/>
        <v>0</v>
      </c>
      <c r="I33" s="20">
        <f t="shared" si="19"/>
        <v>0</v>
      </c>
      <c r="J33" s="20">
        <f t="shared" si="19"/>
        <v>0</v>
      </c>
      <c r="K33" s="20"/>
      <c r="L33" s="20"/>
      <c r="M33" s="20"/>
      <c r="N33" s="20"/>
      <c r="O33" s="20">
        <v>0</v>
      </c>
      <c r="P33" s="20">
        <v>0</v>
      </c>
      <c r="Q33" s="20">
        <v>0</v>
      </c>
      <c r="R33" s="20">
        <v>0</v>
      </c>
    </row>
    <row r="34" spans="1:23" s="33" customFormat="1">
      <c r="A34" s="20" t="s">
        <v>57</v>
      </c>
      <c r="B34" s="29"/>
      <c r="C34" s="29">
        <v>0</v>
      </c>
      <c r="D34" s="29">
        <v>0</v>
      </c>
      <c r="E34" s="29">
        <v>0</v>
      </c>
      <c r="F34" s="29">
        <v>0</v>
      </c>
      <c r="G34" s="29">
        <v>0</v>
      </c>
      <c r="H34" s="29">
        <v>0</v>
      </c>
      <c r="I34" s="29">
        <v>0</v>
      </c>
      <c r="J34" s="29">
        <v>0</v>
      </c>
      <c r="K34" s="29"/>
      <c r="L34" s="29"/>
      <c r="M34" s="29"/>
      <c r="N34" s="29"/>
      <c r="O34" s="29">
        <v>0</v>
      </c>
      <c r="P34" s="29">
        <v>0</v>
      </c>
      <c r="Q34" s="29">
        <v>0</v>
      </c>
      <c r="R34" s="29">
        <v>0</v>
      </c>
    </row>
    <row r="35" spans="1:23" s="27" customFormat="1">
      <c r="A35" s="27" t="s">
        <v>67</v>
      </c>
      <c r="C35" s="27">
        <f>87.834-D35-E35-F35</f>
        <v>1.1370000000000022</v>
      </c>
      <c r="D35" s="27">
        <v>63.561</v>
      </c>
      <c r="E35" s="27">
        <v>34.396000000000001</v>
      </c>
      <c r="F35" s="27">
        <v>-11.26</v>
      </c>
      <c r="G35" s="27">
        <f>39.762-H35-I35-J35</f>
        <v>19.341000000000001</v>
      </c>
      <c r="H35" s="27">
        <v>8.0079999999999991</v>
      </c>
      <c r="I35" s="27">
        <v>-0.92200000000000004</v>
      </c>
      <c r="J35" s="27">
        <v>13.335000000000001</v>
      </c>
      <c r="K35" s="27">
        <f>9.819-L35-M35-N35</f>
        <v>31.437000000000001</v>
      </c>
      <c r="L35" s="27">
        <v>-0.55700000000000005</v>
      </c>
      <c r="M35" s="27">
        <v>18.384</v>
      </c>
      <c r="N35" s="27">
        <v>-39.445</v>
      </c>
      <c r="O35" s="27">
        <f>46.465-P35-Q35-R35</f>
        <v>15.331400000000007</v>
      </c>
      <c r="P35" s="27">
        <v>13.638</v>
      </c>
      <c r="Q35" s="27">
        <v>19.242999999999999</v>
      </c>
      <c r="R35" s="27">
        <v>-1.7474000000000001</v>
      </c>
      <c r="T35" s="33"/>
      <c r="U35" s="33"/>
    </row>
    <row r="36" spans="1:23" s="33" customFormat="1">
      <c r="A36" s="20" t="s">
        <v>68</v>
      </c>
      <c r="B36" s="29"/>
      <c r="C36" s="29">
        <f>-67.686-D36-E36-F36</f>
        <v>-26.470000000000006</v>
      </c>
      <c r="D36" s="29">
        <v>-16.762</v>
      </c>
      <c r="E36" s="29">
        <v>-13.487</v>
      </c>
      <c r="F36" s="29">
        <v>-10.967000000000001</v>
      </c>
      <c r="G36" s="29">
        <f>-62.764-H36-I36-J36</f>
        <v>-20.571000000000005</v>
      </c>
      <c r="H36" s="29">
        <v>-14.654999999999999</v>
      </c>
      <c r="I36" s="29">
        <v>-15.805999999999999</v>
      </c>
      <c r="J36" s="29">
        <v>-11.731999999999999</v>
      </c>
      <c r="K36" s="29">
        <f>-46.408-L36-M36-N36</f>
        <v>-17.967000000000006</v>
      </c>
      <c r="L36" s="29">
        <v>-12.772</v>
      </c>
      <c r="M36" s="29">
        <f>-10.226</f>
        <v>-10.226000000000001</v>
      </c>
      <c r="N36" s="29">
        <v>-5.4429999999999996</v>
      </c>
      <c r="O36" s="29">
        <f>-16.851-P36-Q36-R36</f>
        <v>-4.7459999999999996</v>
      </c>
      <c r="P36" s="29">
        <v>-4.7290000000000001</v>
      </c>
      <c r="Q36" s="29">
        <f>-4.09</f>
        <v>-4.09</v>
      </c>
      <c r="R36" s="29">
        <f>-7.376-Q36</f>
        <v>-3.2860000000000005</v>
      </c>
      <c r="T36" s="27"/>
    </row>
    <row r="37" spans="1:23" s="27" customFormat="1">
      <c r="A37" s="27" t="s">
        <v>69</v>
      </c>
      <c r="C37" s="27">
        <f t="shared" ref="C37:O37" si="20">+C35+C36</f>
        <v>-25.333000000000006</v>
      </c>
      <c r="D37" s="27">
        <f t="shared" si="20"/>
        <v>46.798999999999999</v>
      </c>
      <c r="E37" s="27">
        <f t="shared" si="20"/>
        <v>20.908999999999999</v>
      </c>
      <c r="F37" s="27">
        <f t="shared" si="20"/>
        <v>-22.227</v>
      </c>
      <c r="G37" s="27">
        <f t="shared" si="20"/>
        <v>-1.230000000000004</v>
      </c>
      <c r="H37" s="27">
        <f t="shared" si="20"/>
        <v>-6.6470000000000002</v>
      </c>
      <c r="I37" s="27">
        <f t="shared" si="20"/>
        <v>-16.727999999999998</v>
      </c>
      <c r="J37" s="27">
        <f t="shared" si="20"/>
        <v>1.6030000000000015</v>
      </c>
      <c r="K37" s="27">
        <f t="shared" si="20"/>
        <v>13.469999999999995</v>
      </c>
      <c r="L37" s="27">
        <f t="shared" si="20"/>
        <v>-13.329000000000001</v>
      </c>
      <c r="M37" s="27">
        <f t="shared" si="20"/>
        <v>8.1579999999999995</v>
      </c>
      <c r="N37" s="27">
        <f t="shared" si="20"/>
        <v>-44.887999999999998</v>
      </c>
      <c r="O37" s="27">
        <f t="shared" si="20"/>
        <v>10.585400000000007</v>
      </c>
      <c r="P37" s="27">
        <f t="shared" ref="P37:R37" si="21">+P35+P36</f>
        <v>8.9089999999999989</v>
      </c>
      <c r="Q37" s="27">
        <f t="shared" si="21"/>
        <v>15.152999999999999</v>
      </c>
      <c r="R37" s="27">
        <f t="shared" si="21"/>
        <v>-5.0334000000000003</v>
      </c>
    </row>
    <row r="38" spans="1:23">
      <c r="E38" s="33"/>
      <c r="F38" s="33"/>
      <c r="G38" s="33"/>
    </row>
    <row r="39" spans="1:23" s="35" customFormat="1">
      <c r="A39" s="34" t="s">
        <v>70</v>
      </c>
      <c r="B39" s="20">
        <v>0</v>
      </c>
      <c r="C39" s="20">
        <v>0</v>
      </c>
      <c r="D39" s="20">
        <f>E39-60</f>
        <v>0</v>
      </c>
      <c r="E39" s="20">
        <f>F39</f>
        <v>60</v>
      </c>
      <c r="F39" s="20">
        <f>G39-13+60</f>
        <v>60</v>
      </c>
      <c r="G39" s="20">
        <v>13</v>
      </c>
      <c r="H39" s="20">
        <f>I39-25</f>
        <v>0</v>
      </c>
      <c r="I39" s="20">
        <v>25</v>
      </c>
      <c r="J39" s="20">
        <v>0</v>
      </c>
      <c r="K39" s="20">
        <v>0</v>
      </c>
      <c r="L39" s="20">
        <v>0</v>
      </c>
      <c r="M39" s="20">
        <v>0</v>
      </c>
      <c r="N39" s="20">
        <v>0</v>
      </c>
      <c r="O39" s="20">
        <v>0</v>
      </c>
      <c r="P39" s="20"/>
      <c r="Q39" s="20"/>
      <c r="R39" s="20"/>
      <c r="T39" s="33"/>
      <c r="U39" s="33"/>
      <c r="V39" s="33"/>
      <c r="W39" s="33"/>
    </row>
    <row r="40" spans="1:23" s="35" customFormat="1">
      <c r="A40" s="34" t="s">
        <v>71</v>
      </c>
      <c r="B40" s="20">
        <v>1915</v>
      </c>
      <c r="C40" s="20">
        <v>1915</v>
      </c>
      <c r="D40" s="20">
        <f>E40-3.233+29.935-0.113</f>
        <v>1360.223</v>
      </c>
      <c r="E40" s="20">
        <f>F40-3.233-0.374</f>
        <v>1333.634</v>
      </c>
      <c r="F40" s="20">
        <f>G40+175.717-0.222</f>
        <v>1337.241</v>
      </c>
      <c r="G40" s="20">
        <f>1129.418+32.328</f>
        <v>1161.7459999999999</v>
      </c>
      <c r="H40" s="20">
        <f>1106.638+26.474</f>
        <v>1133.1119999999999</v>
      </c>
      <c r="I40" s="20">
        <f>1106.638+26.474</f>
        <v>1133.1119999999999</v>
      </c>
      <c r="J40" s="20">
        <f>1106.638+26.474</f>
        <v>1133.1119999999999</v>
      </c>
      <c r="K40" s="20">
        <f>1106.638+26.474</f>
        <v>1133.1119999999999</v>
      </c>
      <c r="L40" s="20">
        <f>11.15+0.795+1502.337+11.571-435</f>
        <v>1090.8529999999998</v>
      </c>
      <c r="M40" s="20">
        <f>11.15+0.77+1503.16+11.779-435</f>
        <v>1091.8590000000002</v>
      </c>
      <c r="N40" s="20">
        <v>1090</v>
      </c>
      <c r="O40" s="20">
        <v>1090</v>
      </c>
      <c r="P40" s="20"/>
      <c r="Q40" s="20"/>
      <c r="R40" s="20"/>
      <c r="T40" s="33"/>
      <c r="U40" s="33"/>
      <c r="W40" s="33"/>
    </row>
    <row r="41" spans="1:23" s="35" customFormat="1">
      <c r="A41" s="34" t="s">
        <v>72</v>
      </c>
      <c r="B41" s="20">
        <f>B39+B40+720</f>
        <v>2635</v>
      </c>
      <c r="C41" s="20">
        <f>C39+C40+720</f>
        <v>2635</v>
      </c>
      <c r="D41" s="20">
        <f t="shared" ref="D41:K41" si="22">D39+D40+445+4.16</f>
        <v>1809.383</v>
      </c>
      <c r="E41" s="20">
        <f t="shared" si="22"/>
        <v>1842.7940000000001</v>
      </c>
      <c r="F41" s="20">
        <f t="shared" si="22"/>
        <v>1846.4010000000001</v>
      </c>
      <c r="G41" s="20">
        <f t="shared" si="22"/>
        <v>1623.9059999999999</v>
      </c>
      <c r="H41" s="20">
        <f t="shared" si="22"/>
        <v>1582.2719999999999</v>
      </c>
      <c r="I41" s="20">
        <f t="shared" si="22"/>
        <v>1607.2719999999999</v>
      </c>
      <c r="J41" s="20">
        <f t="shared" si="22"/>
        <v>1582.2719999999999</v>
      </c>
      <c r="K41" s="20">
        <f t="shared" si="22"/>
        <v>1582.2719999999999</v>
      </c>
      <c r="L41" s="20">
        <f>L39+L40+435</f>
        <v>1525.8529999999998</v>
      </c>
      <c r="M41" s="20">
        <f>M39+M40+435</f>
        <v>1526.8590000000002</v>
      </c>
      <c r="N41" s="20">
        <f>N39+N40+435</f>
        <v>1525</v>
      </c>
      <c r="O41" s="20">
        <f>O39+O40+435</f>
        <v>1525</v>
      </c>
      <c r="P41" s="20"/>
      <c r="Q41" s="20"/>
      <c r="R41" s="20"/>
      <c r="T41" s="33"/>
      <c r="U41" s="33"/>
      <c r="W41" s="33"/>
    </row>
    <row r="42" spans="1:23" s="35" customFormat="1">
      <c r="A42" s="34" t="s">
        <v>73</v>
      </c>
      <c r="B42" s="36">
        <f>2371+986</f>
        <v>3357</v>
      </c>
      <c r="C42" s="36">
        <f>2371+986</f>
        <v>3357</v>
      </c>
      <c r="D42" s="36">
        <v>1390</v>
      </c>
      <c r="E42" s="36">
        <v>1390</v>
      </c>
      <c r="F42" s="36">
        <v>1390</v>
      </c>
      <c r="G42" s="36">
        <v>1390</v>
      </c>
      <c r="H42" s="36">
        <v>1390</v>
      </c>
      <c r="I42" s="36">
        <v>1390</v>
      </c>
      <c r="J42" s="36">
        <v>1390</v>
      </c>
      <c r="K42" s="36">
        <f>L42</f>
        <v>1390</v>
      </c>
      <c r="L42" s="36">
        <v>1390</v>
      </c>
      <c r="M42" s="36">
        <v>1390</v>
      </c>
      <c r="N42" s="36">
        <v>1390</v>
      </c>
      <c r="O42" s="36">
        <v>1390</v>
      </c>
      <c r="P42" s="36"/>
      <c r="Q42" s="36"/>
      <c r="R42" s="36"/>
      <c r="W42" s="33"/>
    </row>
    <row r="43" spans="1:23">
      <c r="B43" s="33"/>
      <c r="C43" s="33"/>
      <c r="D43" s="33"/>
      <c r="E43" s="35"/>
      <c r="F43" s="35"/>
      <c r="G43" s="35"/>
      <c r="H43" s="35"/>
      <c r="I43" s="35"/>
      <c r="J43" s="35"/>
      <c r="K43" s="35"/>
      <c r="L43" s="35"/>
      <c r="M43" s="35"/>
      <c r="N43" s="35"/>
      <c r="O43" s="35"/>
      <c r="P43" s="35"/>
      <c r="Q43" s="35"/>
    </row>
    <row r="44" spans="1:23">
      <c r="A44" s="19" t="s">
        <v>74</v>
      </c>
      <c r="B44" s="28">
        <v>10</v>
      </c>
      <c r="C44" s="28">
        <v>10</v>
      </c>
      <c r="D44" s="28">
        <v>167.66900000000001</v>
      </c>
      <c r="E44" s="28">
        <v>160.11799999999999</v>
      </c>
      <c r="F44" s="28">
        <v>142.81700000000001</v>
      </c>
      <c r="G44" s="28">
        <v>16.548999999999999</v>
      </c>
      <c r="H44" s="28">
        <f>22.941</f>
        <v>22.940999999999999</v>
      </c>
      <c r="I44" s="28">
        <v>25.254999999999999</v>
      </c>
      <c r="J44" s="28">
        <v>22.608000000000001</v>
      </c>
      <c r="K44" s="28">
        <v>21.166</v>
      </c>
      <c r="L44" s="28">
        <v>32.601999999999997</v>
      </c>
      <c r="M44" s="28">
        <v>54.201000000000001</v>
      </c>
      <c r="N44" s="28">
        <v>46.998334</v>
      </c>
      <c r="O44" s="28">
        <v>30.757940000000001</v>
      </c>
      <c r="P44" s="28"/>
      <c r="Q44" s="28"/>
      <c r="R44" s="28"/>
    </row>
    <row r="46" spans="1:23">
      <c r="A46" s="14" t="s">
        <v>75</v>
      </c>
      <c r="B46" s="51">
        <v>1879</v>
      </c>
      <c r="C46" s="51">
        <v>1879</v>
      </c>
      <c r="D46" s="58">
        <f t="shared" ref="D46:J46" si="23">E46+D12-H12</f>
        <v>1583.9560000000001</v>
      </c>
      <c r="E46" s="58">
        <f t="shared" si="23"/>
        <v>1515.3500000000001</v>
      </c>
      <c r="F46" s="58">
        <f t="shared" si="23"/>
        <v>1504.9270000000001</v>
      </c>
      <c r="G46" s="58">
        <f t="shared" si="23"/>
        <v>1501.7890000000002</v>
      </c>
      <c r="H46" s="58">
        <f t="shared" si="23"/>
        <v>1477.5820000000003</v>
      </c>
      <c r="I46" s="58">
        <f t="shared" si="23"/>
        <v>1464.4650000000001</v>
      </c>
      <c r="J46" s="58">
        <f t="shared" si="23"/>
        <v>1450.729</v>
      </c>
      <c r="K46" s="51">
        <v>1340</v>
      </c>
      <c r="L46" s="51"/>
      <c r="M46" s="51"/>
      <c r="N46" s="51"/>
      <c r="O46" s="51">
        <v>1203</v>
      </c>
      <c r="P46" s="33"/>
      <c r="Q46" s="33"/>
      <c r="R46" s="33"/>
    </row>
    <row r="47" spans="1:23">
      <c r="A47" s="14" t="s">
        <v>76</v>
      </c>
      <c r="B47" s="51">
        <v>385</v>
      </c>
      <c r="C47" s="58">
        <f>C27</f>
        <v>385</v>
      </c>
      <c r="D47" s="58">
        <f>D27</f>
        <v>260.69599999999997</v>
      </c>
      <c r="E47" s="58">
        <f>E27</f>
        <v>235.03</v>
      </c>
      <c r="F47" s="58">
        <f>F27</f>
        <v>226.13699999999997</v>
      </c>
      <c r="G47" s="58">
        <f>G27</f>
        <v>239</v>
      </c>
      <c r="H47" s="58">
        <f>I47+H22-L22</f>
        <v>272.988</v>
      </c>
      <c r="I47" s="58">
        <f>J47+I22-M22</f>
        <v>276.96100000000001</v>
      </c>
      <c r="J47" s="58">
        <f>K47+J22-N22</f>
        <v>282.24</v>
      </c>
      <c r="K47" s="51">
        <v>267</v>
      </c>
      <c r="L47" s="58"/>
      <c r="M47" s="58"/>
      <c r="N47" s="58"/>
      <c r="O47" s="51">
        <v>204.42499999999998</v>
      </c>
      <c r="P47" s="33"/>
      <c r="Q47" s="33"/>
      <c r="R47" s="33"/>
      <c r="S47" s="98"/>
    </row>
    <row r="48" spans="1:23">
      <c r="A48" s="14" t="s">
        <v>77</v>
      </c>
      <c r="B48" s="58"/>
      <c r="C48" s="58">
        <f t="shared" ref="C48:J48" si="24">D48+C37-G37</f>
        <v>78.555999999999997</v>
      </c>
      <c r="D48" s="58">
        <f t="shared" si="24"/>
        <v>102.65900000000001</v>
      </c>
      <c r="E48" s="58">
        <f t="shared" si="24"/>
        <v>49.212999999999994</v>
      </c>
      <c r="F48" s="58">
        <f t="shared" si="24"/>
        <v>11.576000000000004</v>
      </c>
      <c r="G48" s="58">
        <f t="shared" si="24"/>
        <v>35.406000000000006</v>
      </c>
      <c r="H48" s="58">
        <f t="shared" si="24"/>
        <v>50.106000000000009</v>
      </c>
      <c r="I48" s="58">
        <f t="shared" si="24"/>
        <v>43.424000000000007</v>
      </c>
      <c r="J48" s="58">
        <f t="shared" si="24"/>
        <v>68.31</v>
      </c>
      <c r="K48" s="51">
        <v>21.819000000000003</v>
      </c>
      <c r="L48" s="58"/>
      <c r="M48" s="58"/>
      <c r="N48" s="58"/>
      <c r="O48" s="51">
        <v>77.129109999999983</v>
      </c>
      <c r="P48" s="33"/>
      <c r="Q48" s="33"/>
      <c r="R48" s="33"/>
    </row>
    <row r="49" spans="1:18">
      <c r="B49" s="33"/>
      <c r="C49" s="33"/>
      <c r="D49" s="33"/>
      <c r="E49" s="33"/>
      <c r="F49" s="33"/>
      <c r="G49" s="33"/>
      <c r="H49" s="33"/>
      <c r="I49" s="33"/>
      <c r="J49" s="33"/>
      <c r="K49" s="33"/>
      <c r="L49" s="33"/>
      <c r="M49" s="33"/>
      <c r="N49" s="33"/>
    </row>
    <row r="50" spans="1:18" s="37" customFormat="1">
      <c r="A50" s="37" t="s">
        <v>78</v>
      </c>
      <c r="B50" s="37">
        <f t="shared" ref="B50:C50" si="25">+SUM(B39:B40)/B47</f>
        <v>4.9740259740259738</v>
      </c>
      <c r="C50" s="37">
        <f t="shared" si="25"/>
        <v>4.9740259740259738</v>
      </c>
      <c r="D50" s="37">
        <f t="shared" ref="D50:E50" si="26">+SUM(D39:D40)/D47</f>
        <v>5.2176596495535037</v>
      </c>
      <c r="E50" s="37">
        <f t="shared" si="26"/>
        <v>5.9296004765349108</v>
      </c>
      <c r="F50" s="37">
        <f t="shared" ref="F50:G50" si="27">+SUM(F39:F40)/F47</f>
        <v>6.1787367834542781</v>
      </c>
      <c r="G50" s="37">
        <f t="shared" si="27"/>
        <v>4.9152552301255223</v>
      </c>
      <c r="H50" s="37">
        <f t="shared" ref="H50:I50" si="28">+SUM(H39:H40)/H47</f>
        <v>4.1507758582794843</v>
      </c>
      <c r="I50" s="37">
        <f t="shared" si="28"/>
        <v>4.1814984781250786</v>
      </c>
      <c r="J50" s="37">
        <f t="shared" ref="J50:K50" si="29">+SUM(J39:J40)/J47</f>
        <v>4.0147108843537405</v>
      </c>
      <c r="K50" s="37">
        <f t="shared" si="29"/>
        <v>4.2438651685393252</v>
      </c>
      <c r="O50" s="37">
        <f t="shared" ref="O50" si="30">+SUM(O39:O40)/O47</f>
        <v>5.3320288614406266</v>
      </c>
    </row>
    <row r="51" spans="1:18" s="37" customFormat="1">
      <c r="A51" s="37" t="s">
        <v>79</v>
      </c>
      <c r="B51" s="37">
        <f t="shared" ref="B51:C51" si="31">+B41/B47</f>
        <v>6.8441558441558445</v>
      </c>
      <c r="C51" s="37">
        <f t="shared" si="31"/>
        <v>6.8441558441558445</v>
      </c>
      <c r="D51" s="37">
        <f t="shared" ref="D51:E51" si="32">+D41/D47</f>
        <v>6.9405859698652845</v>
      </c>
      <c r="E51" s="37">
        <f t="shared" si="32"/>
        <v>7.8406756584265844</v>
      </c>
      <c r="F51" s="37">
        <f t="shared" ref="F51:G51" si="33">+F41/F47</f>
        <v>8.164966369943885</v>
      </c>
      <c r="G51" s="37">
        <f t="shared" si="33"/>
        <v>6.7945857740585769</v>
      </c>
      <c r="H51" s="37">
        <f t="shared" ref="H51:I51" si="34">+H41/H47</f>
        <v>5.7961229065013846</v>
      </c>
      <c r="I51" s="37">
        <f t="shared" si="34"/>
        <v>5.8032430558815138</v>
      </c>
      <c r="J51" s="37">
        <f t="shared" ref="J51:K51" si="35">+J41/J47</f>
        <v>5.6061224489795913</v>
      </c>
      <c r="K51" s="37">
        <f t="shared" si="35"/>
        <v>5.9261123595505616</v>
      </c>
      <c r="O51" s="37">
        <f t="shared" ref="O51" si="36">+O41/O47</f>
        <v>7.4599486364192256</v>
      </c>
    </row>
    <row r="52" spans="1:18" s="37" customFormat="1">
      <c r="A52" s="37" t="s">
        <v>80</v>
      </c>
      <c r="B52" s="37">
        <f t="shared" ref="B52:C52" si="37">+(B41-B44)/B47</f>
        <v>6.8181818181818183</v>
      </c>
      <c r="C52" s="37">
        <f t="shared" si="37"/>
        <v>6.8181818181818183</v>
      </c>
      <c r="D52" s="37">
        <f t="shared" ref="D52:E52" si="38">+(D41-D44)/D47</f>
        <v>6.2974268880228319</v>
      </c>
      <c r="E52" s="37">
        <f t="shared" si="38"/>
        <v>7.1594094370931378</v>
      </c>
      <c r="F52" s="37">
        <f t="shared" ref="F52:G52" si="39">+(F41-F44)/F47</f>
        <v>7.5334155843581554</v>
      </c>
      <c r="G52" s="37">
        <f t="shared" si="39"/>
        <v>6.7253430962343099</v>
      </c>
      <c r="H52" s="37">
        <f t="shared" ref="H52:I52" si="40">+(H41-H44)/H47</f>
        <v>5.7120862455492549</v>
      </c>
      <c r="I52" s="37">
        <f t="shared" si="40"/>
        <v>5.71205693220345</v>
      </c>
      <c r="J52" s="37">
        <f t="shared" ref="J52:K52" si="41">+(J41-J44)/J47</f>
        <v>5.5260204081632649</v>
      </c>
      <c r="K52" s="37">
        <f t="shared" si="41"/>
        <v>5.8468389513108612</v>
      </c>
      <c r="O52" s="37">
        <f t="shared" ref="O52" si="42">+(O41-O44)/O47</f>
        <v>7.3094878806408223</v>
      </c>
    </row>
    <row r="53" spans="1:18" s="38" customFormat="1">
      <c r="A53" s="38" t="s">
        <v>81</v>
      </c>
      <c r="B53" s="38">
        <f t="shared" ref="B53:C53" si="43">+B48/B41</f>
        <v>0</v>
      </c>
      <c r="C53" s="38">
        <f t="shared" si="43"/>
        <v>2.9812523719165086E-2</v>
      </c>
      <c r="D53" s="38">
        <f t="shared" ref="D53:E53" si="44">+D48/D41</f>
        <v>5.6737020299184864E-2</v>
      </c>
      <c r="E53" s="38">
        <f t="shared" si="44"/>
        <v>2.6705643712753566E-2</v>
      </c>
      <c r="F53" s="38">
        <f t="shared" ref="F53:G53" si="45">+F48/F41</f>
        <v>6.2694940048234398E-3</v>
      </c>
      <c r="G53" s="38">
        <f t="shared" si="45"/>
        <v>2.1802986133433837E-2</v>
      </c>
      <c r="H53" s="38">
        <f t="shared" ref="H53:I53" si="46">+H48/H41</f>
        <v>3.1667121708530525E-2</v>
      </c>
      <c r="I53" s="38">
        <f t="shared" si="46"/>
        <v>2.7017206795116201E-2</v>
      </c>
      <c r="J53" s="38">
        <f t="shared" ref="J53:K53" si="47">+J48/J41</f>
        <v>4.3172096832908631E-2</v>
      </c>
      <c r="K53" s="38">
        <f t="shared" si="47"/>
        <v>1.3789664482465722E-2</v>
      </c>
      <c r="O53" s="38">
        <f t="shared" ref="O53" si="48">+O48/O41</f>
        <v>5.0576465573770484E-2</v>
      </c>
    </row>
    <row r="54" spans="1:18" s="38" customFormat="1">
      <c r="A54" s="39" t="s">
        <v>82</v>
      </c>
      <c r="B54" s="40"/>
      <c r="C54" s="40"/>
      <c r="D54" s="40"/>
      <c r="E54" s="40"/>
      <c r="F54" s="40"/>
      <c r="G54" s="40"/>
      <c r="H54" s="40"/>
      <c r="I54" s="40"/>
      <c r="J54" s="40"/>
      <c r="K54" s="40"/>
      <c r="L54" s="40"/>
      <c r="M54" s="40"/>
      <c r="N54" s="40"/>
      <c r="O54" s="40"/>
      <c r="P54" s="40"/>
      <c r="Q54" s="40"/>
      <c r="R54" s="40"/>
    </row>
    <row r="55" spans="1:18" s="38" customFormat="1">
      <c r="A55" s="38" t="s">
        <v>83</v>
      </c>
      <c r="B55" s="41">
        <f t="shared" ref="B55:C55" si="49">IF(B42=0,IF(B54="","","*"&amp;TEXT(B54,"0.0x")),(B41+B42-B44)/B47)</f>
        <v>15.537662337662338</v>
      </c>
      <c r="C55" s="41">
        <f t="shared" si="49"/>
        <v>15.537662337662338</v>
      </c>
      <c r="D55" s="41">
        <f t="shared" ref="D55:E55" si="50">IF(D42=0,IF(D54="","","*"&amp;TEXT(D54,"0.0x")),(D41+D42-D44)/D47)</f>
        <v>11.629307699389328</v>
      </c>
      <c r="E55" s="41">
        <f t="shared" si="50"/>
        <v>13.073548057694762</v>
      </c>
      <c r="F55" s="41">
        <f t="shared" ref="F55:G55" si="51">IF(F42=0,IF(F54="","","*"&amp;TEXT(F54,"0.0x")),(F41+F42-F44)/F47)</f>
        <v>13.680131955407564</v>
      </c>
      <c r="G55" s="41">
        <f t="shared" si="51"/>
        <v>12.541242677824268</v>
      </c>
      <c r="H55" s="41">
        <f t="shared" ref="H55:I55" si="52">IF(H42=0,IF(H54="","","*"&amp;TEXT(H54,"0.0x")),(H41+H42-H44)/H47)</f>
        <v>10.803885152460914</v>
      </c>
      <c r="I55" s="41">
        <f t="shared" si="52"/>
        <v>10.730814085737702</v>
      </c>
      <c r="J55" s="41">
        <f t="shared" ref="J55:K55" si="53">IF(J42=0,IF(J54="","","*"&amp;TEXT(J54,"0.0x")),(J41+J42-J44)/J47)</f>
        <v>10.450907029478456</v>
      </c>
      <c r="K55" s="41">
        <f t="shared" si="53"/>
        <v>11.052831460674156</v>
      </c>
      <c r="L55" s="41"/>
      <c r="M55" s="41"/>
      <c r="N55" s="41"/>
      <c r="O55" s="41">
        <f t="shared" ref="O55" si="54">IF(O42=0,IF(O54="","","*"&amp;TEXT(O54,"0.0x")),(O41+O42-O44)/O47)</f>
        <v>14.109047621377034</v>
      </c>
      <c r="P55" s="41"/>
      <c r="Q55" s="41"/>
      <c r="R55" s="41"/>
    </row>
    <row r="57" spans="1:18" ht="69">
      <c r="A57" s="43" t="s">
        <v>84</v>
      </c>
      <c r="B57" s="44" t="s">
        <v>673</v>
      </c>
      <c r="C57" s="44" t="s">
        <v>289</v>
      </c>
      <c r="D57" s="44" t="s">
        <v>289</v>
      </c>
      <c r="E57" s="44" t="s">
        <v>289</v>
      </c>
      <c r="F57" s="44" t="s">
        <v>289</v>
      </c>
      <c r="G57" s="44" t="s">
        <v>289</v>
      </c>
      <c r="H57" s="44" t="s">
        <v>289</v>
      </c>
      <c r="I57" s="44" t="s">
        <v>289</v>
      </c>
      <c r="J57" s="44" t="s">
        <v>289</v>
      </c>
      <c r="K57" s="44" t="s">
        <v>90</v>
      </c>
      <c r="L57" s="44" t="s">
        <v>291</v>
      </c>
      <c r="M57" s="44"/>
      <c r="N57" s="44"/>
      <c r="O57" s="44" t="s">
        <v>216</v>
      </c>
      <c r="P57" s="44"/>
      <c r="Q57" s="44"/>
      <c r="R57" s="44"/>
    </row>
    <row r="58" spans="1:18">
      <c r="A58" s="45"/>
      <c r="B58" s="42"/>
      <c r="C58" s="42"/>
      <c r="D58" s="42"/>
      <c r="E58" s="42"/>
      <c r="F58" s="42"/>
      <c r="G58" s="42"/>
      <c r="H58" s="42"/>
      <c r="I58" s="42"/>
      <c r="J58" s="42"/>
      <c r="K58" s="42"/>
      <c r="L58" s="42"/>
      <c r="M58" s="42"/>
      <c r="N58" s="42"/>
      <c r="O58" s="42"/>
    </row>
    <row r="59" spans="1:18">
      <c r="A59" s="45"/>
    </row>
  </sheetData>
  <pageMargins left="0.7" right="0.7" top="0.75" bottom="0.75" header="0.3" footer="0.3"/>
  <pageSetup orientation="portrait" r:id="rId1"/>
  <ignoredErrors>
    <ignoredError sqref="K49" formula="1"/>
  </ignoredErrors>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AG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outlineLevelCol="1"/>
  <cols>
    <col min="1" max="1" width="22.6640625" style="14" customWidth="1"/>
    <col min="2" max="9" width="10.6640625" style="14" customWidth="1"/>
    <col min="10" max="23" width="10.6640625" style="14" hidden="1" customWidth="1" outlineLevel="1"/>
    <col min="24" max="24" width="9.44140625" style="14" bestFit="1" customWidth="1" collapsed="1"/>
    <col min="25" max="25" width="9.44140625" style="14" bestFit="1" customWidth="1"/>
    <col min="26" max="26" width="10.44140625" style="14" bestFit="1" customWidth="1"/>
    <col min="27" max="16384" width="9.109375" style="14"/>
  </cols>
  <sheetData>
    <row r="2" spans="1:26">
      <c r="A2" s="13" t="s">
        <v>44</v>
      </c>
      <c r="B2" s="14" t="s">
        <v>21</v>
      </c>
    </row>
    <row r="3" spans="1:26" s="16" customFormat="1">
      <c r="A3" s="15" t="s">
        <v>45</v>
      </c>
      <c r="B3" s="16" t="s">
        <v>134</v>
      </c>
    </row>
    <row r="4" spans="1:26">
      <c r="A4" s="13" t="s">
        <v>2</v>
      </c>
      <c r="B4" s="14" t="s">
        <v>4</v>
      </c>
    </row>
    <row r="5" spans="1:26">
      <c r="A5" s="13" t="s">
        <v>46</v>
      </c>
    </row>
    <row r="6" spans="1:26">
      <c r="A6" s="13" t="s">
        <v>47</v>
      </c>
      <c r="B6" s="14">
        <v>3</v>
      </c>
    </row>
    <row r="7" spans="1:26">
      <c r="A7" s="13" t="s">
        <v>48</v>
      </c>
      <c r="B7" s="14" t="s">
        <v>463</v>
      </c>
    </row>
    <row r="8" spans="1:26">
      <c r="A8" s="13" t="s">
        <v>347</v>
      </c>
      <c r="B8" s="14" t="s">
        <v>415</v>
      </c>
    </row>
    <row r="9" spans="1:26">
      <c r="A9" s="17"/>
    </row>
    <row r="10" spans="1:26">
      <c r="A10" s="17" t="s">
        <v>49</v>
      </c>
      <c r="B10" s="18">
        <v>44196</v>
      </c>
      <c r="C10" s="18">
        <v>44104</v>
      </c>
      <c r="D10" s="18">
        <v>44012</v>
      </c>
      <c r="E10" s="18">
        <v>43921</v>
      </c>
      <c r="F10" s="18">
        <v>43830</v>
      </c>
      <c r="G10" s="18">
        <v>43738</v>
      </c>
      <c r="H10" s="18">
        <v>43646</v>
      </c>
      <c r="I10" s="18">
        <v>43555</v>
      </c>
      <c r="J10" s="18">
        <v>43465</v>
      </c>
      <c r="K10" s="18">
        <v>43373</v>
      </c>
      <c r="L10" s="18">
        <v>43281</v>
      </c>
      <c r="M10" s="18">
        <v>43190</v>
      </c>
      <c r="N10" s="18">
        <v>43100</v>
      </c>
      <c r="O10" s="18">
        <v>43008</v>
      </c>
      <c r="P10" s="18">
        <v>42916</v>
      </c>
      <c r="Q10" s="18">
        <v>42825</v>
      </c>
      <c r="R10" s="18">
        <v>42735</v>
      </c>
      <c r="S10" s="18">
        <v>42643</v>
      </c>
      <c r="T10" s="18">
        <v>42551</v>
      </c>
      <c r="U10" s="18">
        <v>42460</v>
      </c>
      <c r="V10" s="18">
        <v>42369</v>
      </c>
      <c r="W10" s="18">
        <v>42277</v>
      </c>
      <c r="X10" s="45"/>
      <c r="Y10" s="45"/>
      <c r="Z10" s="45"/>
    </row>
    <row r="11" spans="1:26">
      <c r="B11" s="48"/>
      <c r="C11" s="48"/>
      <c r="D11" s="48"/>
      <c r="E11" s="48"/>
      <c r="F11" s="48"/>
      <c r="G11" s="48"/>
      <c r="H11" s="48"/>
      <c r="I11" s="48"/>
      <c r="J11" s="48"/>
      <c r="K11" s="48"/>
    </row>
    <row r="12" spans="1:26">
      <c r="A12" s="19" t="s">
        <v>50</v>
      </c>
      <c r="B12" s="20">
        <v>322.19299999999998</v>
      </c>
      <c r="C12" s="20">
        <f>1429.456-D12-E12-F12</f>
        <v>383.86099999999988</v>
      </c>
      <c r="D12" s="20">
        <v>347.827</v>
      </c>
      <c r="E12" s="20">
        <v>351.66300000000001</v>
      </c>
      <c r="F12" s="20">
        <v>346.10500000000002</v>
      </c>
      <c r="G12" s="20">
        <f>1444.441-H12-I12-J12</f>
        <v>412.46800000000002</v>
      </c>
      <c r="H12" s="20">
        <v>360.34300000000002</v>
      </c>
      <c r="I12" s="20">
        <v>348.62799999999999</v>
      </c>
      <c r="J12" s="20">
        <v>323.00200000000001</v>
      </c>
      <c r="K12" s="20">
        <f>1339.541-L12-M12-N12</f>
        <v>366.32499999999999</v>
      </c>
      <c r="L12" s="20">
        <v>342.47500000000002</v>
      </c>
      <c r="M12" s="20">
        <v>333.69</v>
      </c>
      <c r="N12" s="20">
        <v>297.05099999999999</v>
      </c>
      <c r="O12" s="20">
        <f>1247.424-R12-Q12-P12</f>
        <v>356.50799999999975</v>
      </c>
      <c r="P12" s="20">
        <f>890.916-R12-Q12</f>
        <v>311.14300000000009</v>
      </c>
      <c r="Q12" s="20">
        <v>299.90199999999999</v>
      </c>
      <c r="R12" s="20">
        <f>579.773-Q12</f>
        <v>279.87100000000004</v>
      </c>
      <c r="S12" s="20">
        <f>1137.196-V12-U12-T12</f>
        <v>319.40799999999984</v>
      </c>
      <c r="T12" s="20">
        <f>817.788-V12-U12</f>
        <v>293.26499999999993</v>
      </c>
      <c r="U12" s="20">
        <v>270.04599999999999</v>
      </c>
      <c r="V12" s="20">
        <f>524.523-U12</f>
        <v>254.47700000000003</v>
      </c>
      <c r="W12" s="20">
        <f>1060.966-784.4</f>
        <v>276.56599999999992</v>
      </c>
      <c r="X12" s="107"/>
    </row>
    <row r="13" spans="1:26" s="21" customFormat="1">
      <c r="A13" s="21" t="s">
        <v>51</v>
      </c>
      <c r="B13" s="21">
        <f t="shared" ref="B13:S13" si="0">+B12/F12-1</f>
        <v>-6.9088860316955936E-2</v>
      </c>
      <c r="C13" s="21">
        <f t="shared" si="0"/>
        <v>-6.9355683349981434E-2</v>
      </c>
      <c r="D13" s="21">
        <f t="shared" si="0"/>
        <v>-3.4733573289893238E-2</v>
      </c>
      <c r="E13" s="21">
        <f t="shared" si="0"/>
        <v>8.7055543444589656E-3</v>
      </c>
      <c r="F13" s="21">
        <f t="shared" si="0"/>
        <v>7.1525872904811827E-2</v>
      </c>
      <c r="G13" s="21">
        <f t="shared" si="0"/>
        <v>0.12596191906094334</v>
      </c>
      <c r="H13" s="21">
        <f t="shared" si="0"/>
        <v>5.217315132491418E-2</v>
      </c>
      <c r="I13" s="21">
        <f t="shared" si="0"/>
        <v>4.476610027270822E-2</v>
      </c>
      <c r="J13" s="21">
        <f t="shared" si="0"/>
        <v>8.736210280389578E-2</v>
      </c>
      <c r="K13" s="21">
        <f t="shared" si="0"/>
        <v>2.7536548969448793E-2</v>
      </c>
      <c r="L13" s="21">
        <f t="shared" si="0"/>
        <v>0.10069967828297566</v>
      </c>
      <c r="M13" s="21">
        <f t="shared" si="0"/>
        <v>0.11266347006688848</v>
      </c>
      <c r="N13" s="21">
        <f t="shared" si="0"/>
        <v>6.1385423998913557E-2</v>
      </c>
      <c r="O13" s="21">
        <f t="shared" si="0"/>
        <v>0.11615238190652688</v>
      </c>
      <c r="P13" s="21">
        <f t="shared" si="0"/>
        <v>6.0961928631102058E-2</v>
      </c>
      <c r="Q13" s="21">
        <f t="shared" si="0"/>
        <v>0.11055894180991377</v>
      </c>
      <c r="R13" s="21">
        <f t="shared" si="0"/>
        <v>9.9788978964700181E-2</v>
      </c>
      <c r="S13" s="21">
        <f t="shared" si="0"/>
        <v>0.15490696614912869</v>
      </c>
      <c r="X13" s="116"/>
    </row>
    <row r="14" spans="1:26" s="24" customFormat="1">
      <c r="A14" s="22" t="s">
        <v>52</v>
      </c>
      <c r="B14" s="66">
        <v>-3.5000000000000003E-2</v>
      </c>
      <c r="C14" s="66">
        <v>-1.7000000000000001E-2</v>
      </c>
      <c r="D14" s="66">
        <v>-3.0000000000000001E-3</v>
      </c>
      <c r="E14" s="66">
        <v>3.4000000000000002E-2</v>
      </c>
      <c r="F14" s="66">
        <v>5.7000000000000002E-2</v>
      </c>
      <c r="G14" s="66">
        <v>0.115</v>
      </c>
      <c r="H14" s="23" t="s">
        <v>3</v>
      </c>
      <c r="I14" s="23" t="s">
        <v>3</v>
      </c>
      <c r="J14" s="23" t="s">
        <v>3</v>
      </c>
      <c r="K14" s="23" t="s">
        <v>3</v>
      </c>
      <c r="L14" s="23" t="s">
        <v>3</v>
      </c>
      <c r="M14" s="23" t="s">
        <v>3</v>
      </c>
      <c r="N14" s="23" t="s">
        <v>3</v>
      </c>
      <c r="O14" s="23" t="s">
        <v>3</v>
      </c>
      <c r="P14" s="23" t="s">
        <v>3</v>
      </c>
      <c r="Q14" s="23" t="s">
        <v>3</v>
      </c>
      <c r="R14" s="23" t="s">
        <v>3</v>
      </c>
      <c r="S14" s="23" t="s">
        <v>3</v>
      </c>
      <c r="T14" s="22"/>
      <c r="U14" s="22"/>
      <c r="V14" s="22"/>
      <c r="W14" s="22"/>
    </row>
    <row r="16" spans="1:26" s="17" customFormat="1">
      <c r="A16" s="25" t="s">
        <v>53</v>
      </c>
      <c r="B16" s="26">
        <f>43.7+3.1</f>
        <v>46.800000000000004</v>
      </c>
      <c r="C16" s="26">
        <f>275.7+10.5-D16-E16-F16</f>
        <v>73.599999999999966</v>
      </c>
      <c r="D16" s="26">
        <f>60.7+2.6</f>
        <v>63.300000000000004</v>
      </c>
      <c r="E16" s="26">
        <f>48.5+2.3</f>
        <v>50.8</v>
      </c>
      <c r="F16" s="26">
        <f>94.8+3.7</f>
        <v>98.5</v>
      </c>
      <c r="G16" s="26">
        <f>157.9+20-H16-I16-J16</f>
        <v>60</v>
      </c>
      <c r="H16" s="26">
        <f>51.2+5</f>
        <v>56.2</v>
      </c>
      <c r="I16" s="26">
        <f>35.7+4.7</f>
        <v>40.400000000000006</v>
      </c>
      <c r="J16" s="26">
        <f>16.7+4.6</f>
        <v>21.299999999999997</v>
      </c>
      <c r="K16" s="26">
        <f>152.7+15.8-L16-M16-N16</f>
        <v>44.835000000000001</v>
      </c>
      <c r="L16" s="26">
        <f>36.399+4.405</f>
        <v>40.804000000000002</v>
      </c>
      <c r="M16" s="26">
        <f>46.288+4.25</f>
        <v>50.537999999999997</v>
      </c>
      <c r="N16" s="26">
        <f>29.711+2.612</f>
        <v>32.323</v>
      </c>
      <c r="O16" s="26">
        <f>147.09+2.251-R16-Q16-P16</f>
        <v>58.926000000000016</v>
      </c>
      <c r="P16" s="26">
        <f>44.701+0.614</f>
        <v>45.314999999999998</v>
      </c>
      <c r="Q16" s="26">
        <f>30.9+0.6</f>
        <v>31.5</v>
      </c>
      <c r="R16" s="26">
        <f>13.1+0.5</f>
        <v>13.6</v>
      </c>
      <c r="S16" s="26">
        <f>106.4+2-U16-T16-V16</f>
        <v>34.302000000000014</v>
      </c>
      <c r="T16" s="26">
        <f>32.221+0.477</f>
        <v>32.697999999999993</v>
      </c>
      <c r="U16" s="26">
        <f>22.9+0.4</f>
        <v>23.299999999999997</v>
      </c>
      <c r="V16" s="26">
        <f>17.6+0.5</f>
        <v>18.100000000000001</v>
      </c>
      <c r="W16" s="26">
        <v>21.3</v>
      </c>
      <c r="X16" s="27"/>
      <c r="Y16" s="33"/>
      <c r="Z16" s="27"/>
    </row>
    <row r="17" spans="1:33" s="21" customFormat="1">
      <c r="A17" s="21" t="s">
        <v>54</v>
      </c>
      <c r="B17" s="21">
        <f t="shared" ref="B17:W17" si="1">+B16/B12</f>
        <v>0.14525455239561383</v>
      </c>
      <c r="C17" s="21">
        <f t="shared" si="1"/>
        <v>0.1917360711299142</v>
      </c>
      <c r="D17" s="21">
        <f t="shared" si="1"/>
        <v>0.18198702228406652</v>
      </c>
      <c r="E17" s="21">
        <f t="shared" si="1"/>
        <v>0.14445648248465148</v>
      </c>
      <c r="F17" s="21">
        <f t="shared" si="1"/>
        <v>0.28459571517314108</v>
      </c>
      <c r="G17" s="21">
        <f t="shared" si="1"/>
        <v>0.14546583007651501</v>
      </c>
      <c r="H17" s="21">
        <f t="shared" si="1"/>
        <v>0.15596251349408757</v>
      </c>
      <c r="I17" s="21">
        <f t="shared" si="1"/>
        <v>0.1158828321305231</v>
      </c>
      <c r="J17" s="21">
        <f t="shared" si="1"/>
        <v>6.5943864124680326E-2</v>
      </c>
      <c r="K17" s="21">
        <f t="shared" si="1"/>
        <v>0.1223913191837849</v>
      </c>
      <c r="L17" s="21">
        <f t="shared" si="1"/>
        <v>0.11914446309949631</v>
      </c>
      <c r="M17" s="21">
        <f t="shared" si="1"/>
        <v>0.15145194641733345</v>
      </c>
      <c r="N17" s="21">
        <f t="shared" si="1"/>
        <v>0.10881296477709215</v>
      </c>
      <c r="O17" s="21">
        <f t="shared" si="1"/>
        <v>0.16528661348412954</v>
      </c>
      <c r="P17" s="21">
        <f t="shared" si="1"/>
        <v>0.14564042899888471</v>
      </c>
      <c r="Q17" s="21">
        <f t="shared" si="1"/>
        <v>0.10503431120832805</v>
      </c>
      <c r="R17" s="21">
        <f t="shared" si="1"/>
        <v>4.8593816436858402E-2</v>
      </c>
      <c r="S17" s="21">
        <f t="shared" si="1"/>
        <v>0.10739242598807804</v>
      </c>
      <c r="T17" s="21">
        <f t="shared" si="1"/>
        <v>0.11149642814519292</v>
      </c>
      <c r="U17" s="21">
        <f t="shared" si="1"/>
        <v>8.6281596468749763E-2</v>
      </c>
      <c r="V17" s="21">
        <f t="shared" si="1"/>
        <v>7.1126270743524955E-2</v>
      </c>
      <c r="W17" s="21">
        <f t="shared" si="1"/>
        <v>7.7015974487102568E-2</v>
      </c>
      <c r="X17" s="33"/>
      <c r="Y17" s="33"/>
      <c r="Z17" s="33"/>
    </row>
    <row r="18" spans="1:33" s="24" customFormat="1">
      <c r="X18" s="33"/>
      <c r="Y18" s="33"/>
      <c r="Z18" s="33"/>
    </row>
    <row r="19" spans="1:33" s="24" customFormat="1">
      <c r="A19" s="19" t="s">
        <v>55</v>
      </c>
      <c r="B19" s="20">
        <v>0.6</v>
      </c>
      <c r="C19" s="20">
        <f>1.9-D19-E19-F19</f>
        <v>0.89999999999999991</v>
      </c>
      <c r="D19" s="20">
        <v>0.3</v>
      </c>
      <c r="E19" s="20">
        <v>0.5</v>
      </c>
      <c r="F19" s="20">
        <v>0.2</v>
      </c>
      <c r="G19" s="20">
        <f>11.6-H19-I19-J19</f>
        <v>6.1</v>
      </c>
      <c r="H19" s="20">
        <v>1</v>
      </c>
      <c r="I19" s="20">
        <v>2.4</v>
      </c>
      <c r="J19" s="20">
        <v>2.1</v>
      </c>
      <c r="K19" s="20">
        <f>7.6-L19-M19-N19</f>
        <v>1.5849999999999993</v>
      </c>
      <c r="L19" s="20">
        <v>4.6550000000000002</v>
      </c>
      <c r="M19" s="20">
        <v>0.84599999999999997</v>
      </c>
      <c r="N19" s="20">
        <v>0.51400000000000001</v>
      </c>
      <c r="O19" s="20">
        <f>7.342-R19-Q19-P19</f>
        <v>7.3419999999999996</v>
      </c>
      <c r="P19" s="20">
        <v>0</v>
      </c>
      <c r="Q19" s="20">
        <v>0</v>
      </c>
      <c r="R19" s="20">
        <v>0</v>
      </c>
      <c r="S19" s="20">
        <v>0</v>
      </c>
      <c r="T19" s="20">
        <v>0</v>
      </c>
      <c r="U19" s="20">
        <v>0</v>
      </c>
      <c r="V19" s="20">
        <v>0</v>
      </c>
      <c r="W19" s="20">
        <v>0</v>
      </c>
      <c r="X19" s="33"/>
      <c r="Y19" s="33"/>
      <c r="Z19" s="33"/>
    </row>
    <row r="20" spans="1:33" s="24" customFormat="1">
      <c r="A20" s="19" t="s">
        <v>56</v>
      </c>
      <c r="B20" s="20">
        <v>1.8</v>
      </c>
      <c r="C20" s="20">
        <f>17.4-D20-E20-F20</f>
        <v>6.3999999999999977</v>
      </c>
      <c r="D20" s="20">
        <v>3.1</v>
      </c>
      <c r="E20" s="20">
        <v>6.2</v>
      </c>
      <c r="F20" s="20">
        <v>1.7</v>
      </c>
      <c r="G20" s="20">
        <f>24.2-H20-I20-J20</f>
        <v>5.6999999999999984</v>
      </c>
      <c r="H20" s="20">
        <v>4.5</v>
      </c>
      <c r="I20" s="20">
        <v>8.3000000000000007</v>
      </c>
      <c r="J20" s="20">
        <v>5.7</v>
      </c>
      <c r="K20" s="20">
        <f>34.4-L20-M20-N20</f>
        <v>9.1269999999999971</v>
      </c>
      <c r="L20" s="20">
        <v>8.93</v>
      </c>
      <c r="M20" s="20">
        <v>8.2279999999999998</v>
      </c>
      <c r="N20" s="20">
        <v>8.1150000000000002</v>
      </c>
      <c r="O20" s="20">
        <f>51.331-R20-Q20-P20</f>
        <v>10.208</v>
      </c>
      <c r="P20" s="20">
        <f>1.863+12.76</f>
        <v>14.622999999999999</v>
      </c>
      <c r="Q20" s="20">
        <f>2.3+10</f>
        <v>12.3</v>
      </c>
      <c r="R20" s="20">
        <f>0.7+13.5</f>
        <v>14.2</v>
      </c>
      <c r="S20" s="20">
        <f>6.1+37.8-U20-T20-V20</f>
        <v>23.738</v>
      </c>
      <c r="T20" s="20">
        <f>2.038+5.424</f>
        <v>7.4619999999999997</v>
      </c>
      <c r="U20" s="20">
        <f>2.4+6.2</f>
        <v>8.6</v>
      </c>
      <c r="V20" s="20">
        <v>4.0999999999999996</v>
      </c>
      <c r="W20" s="20">
        <v>7.7</v>
      </c>
      <c r="X20" s="33"/>
      <c r="Y20" s="33"/>
      <c r="Z20" s="33"/>
    </row>
    <row r="21" spans="1:33" s="24" customFormat="1">
      <c r="A21" s="19" t="s">
        <v>57</v>
      </c>
      <c r="B21" s="20">
        <v>-4.4000000000000004</v>
      </c>
      <c r="C21" s="20">
        <f>-65.9-D21-E21-F21</f>
        <v>-5.4000000000000128</v>
      </c>
      <c r="D21" s="20">
        <v>-2.9</v>
      </c>
      <c r="E21" s="20">
        <v>-0.8</v>
      </c>
      <c r="F21" s="20">
        <v>-56.8</v>
      </c>
      <c r="G21" s="20">
        <f>21.3-H21-I21-J21</f>
        <v>7.5000000000000036</v>
      </c>
      <c r="H21" s="20">
        <v>-1.1000000000000001</v>
      </c>
      <c r="I21" s="20">
        <v>5.6</v>
      </c>
      <c r="J21" s="20">
        <v>9.3000000000000007</v>
      </c>
      <c r="K21" s="20">
        <f>0.3+6.1-L21-M21-N21</f>
        <v>5.658999999999998</v>
      </c>
      <c r="L21" s="20">
        <v>3.6240000000000001</v>
      </c>
      <c r="M21" s="20">
        <v>-1.9119999999999999</v>
      </c>
      <c r="N21" s="20">
        <f>N22-N16-N19-N20</f>
        <v>-0.9709999999999992</v>
      </c>
      <c r="O21" s="20">
        <f>O22-O16-O19-O20</f>
        <v>-5.1120000000000116</v>
      </c>
      <c r="P21" s="20">
        <f>P22-P16-P19-P20</f>
        <v>-4.8069999999999968</v>
      </c>
      <c r="Q21" s="20">
        <f>Q22-Q16-Q19-Q20</f>
        <v>0.12900000000000134</v>
      </c>
      <c r="R21" s="20">
        <f>R22-R16-R19-R20</f>
        <v>9.4389999999999965</v>
      </c>
      <c r="S21" s="20">
        <f>6+5.2+0.9-U21-T21-V21</f>
        <v>5.4009999999999998</v>
      </c>
      <c r="T21" s="20">
        <f>0.743-1.144+1</f>
        <v>0.59900000000000009</v>
      </c>
      <c r="U21" s="20">
        <f>1.4+0.4+0.9</f>
        <v>2.6999999999999997</v>
      </c>
      <c r="V21" s="20">
        <f>0.3+1.3+1.8</f>
        <v>3.4000000000000004</v>
      </c>
      <c r="W21" s="20">
        <v>8.2000000000000028</v>
      </c>
      <c r="X21" s="33"/>
      <c r="Y21" s="33"/>
      <c r="Z21" s="33"/>
    </row>
    <row r="22" spans="1:33" s="17" customFormat="1">
      <c r="A22" s="17" t="s">
        <v>58</v>
      </c>
      <c r="B22" s="27">
        <f t="shared" ref="B22:C22" si="2">SUM(B16,B19:B21)</f>
        <v>44.800000000000004</v>
      </c>
      <c r="C22" s="27">
        <f t="shared" si="2"/>
        <v>75.499999999999943</v>
      </c>
      <c r="D22" s="27">
        <f t="shared" ref="D22:M22" si="3">SUM(D16,D19:D21)</f>
        <v>63.800000000000004</v>
      </c>
      <c r="E22" s="27">
        <f t="shared" si="3"/>
        <v>56.7</v>
      </c>
      <c r="F22" s="27">
        <f t="shared" si="3"/>
        <v>43.600000000000009</v>
      </c>
      <c r="G22" s="27">
        <f t="shared" si="3"/>
        <v>79.3</v>
      </c>
      <c r="H22" s="27">
        <f t="shared" si="3"/>
        <v>60.6</v>
      </c>
      <c r="I22" s="27">
        <f t="shared" si="3"/>
        <v>56.70000000000001</v>
      </c>
      <c r="J22" s="27">
        <f t="shared" si="3"/>
        <v>38.4</v>
      </c>
      <c r="K22" s="27">
        <f t="shared" si="3"/>
        <v>61.205999999999996</v>
      </c>
      <c r="L22" s="27">
        <f t="shared" si="3"/>
        <v>58.013000000000005</v>
      </c>
      <c r="M22" s="27">
        <f t="shared" si="3"/>
        <v>57.699999999999996</v>
      </c>
      <c r="N22" s="27">
        <v>39.981000000000002</v>
      </c>
      <c r="O22" s="27">
        <v>71.364000000000004</v>
      </c>
      <c r="P22" s="27">
        <v>55.131</v>
      </c>
      <c r="Q22" s="27">
        <v>43.929000000000002</v>
      </c>
      <c r="R22" s="27">
        <v>37.238999999999997</v>
      </c>
      <c r="S22" s="27">
        <f t="shared" ref="S22:W22" si="4">SUM(S16,S19:S21)</f>
        <v>63.441000000000017</v>
      </c>
      <c r="T22" s="27">
        <f t="shared" si="4"/>
        <v>40.758999999999993</v>
      </c>
      <c r="U22" s="27">
        <f t="shared" si="4"/>
        <v>34.6</v>
      </c>
      <c r="V22" s="27">
        <f t="shared" si="4"/>
        <v>25.6</v>
      </c>
      <c r="W22" s="27">
        <f t="shared" si="4"/>
        <v>37.200000000000003</v>
      </c>
      <c r="X22" s="27"/>
      <c r="Y22" s="27"/>
      <c r="Z22" s="27"/>
    </row>
    <row r="23" spans="1:33" s="17" customFormat="1">
      <c r="B23" s="21"/>
      <c r="C23" s="21"/>
      <c r="D23" s="21"/>
      <c r="E23" s="21"/>
      <c r="F23" s="21"/>
      <c r="G23" s="21"/>
      <c r="H23" s="21"/>
      <c r="I23" s="21"/>
      <c r="J23" s="21"/>
      <c r="K23" s="21"/>
      <c r="L23" s="27"/>
      <c r="M23" s="27"/>
      <c r="N23" s="27"/>
      <c r="O23" s="27"/>
      <c r="P23" s="27"/>
      <c r="Q23" s="27"/>
      <c r="R23" s="27"/>
      <c r="S23" s="27"/>
      <c r="T23" s="27"/>
      <c r="U23" s="27"/>
      <c r="V23" s="27"/>
      <c r="W23" s="27"/>
    </row>
    <row r="24" spans="1:33" s="17" customFormat="1">
      <c r="A24" s="17" t="s">
        <v>59</v>
      </c>
      <c r="B24" s="27">
        <f t="shared" ref="B24:T24" si="5">SUM(B22:E22)</f>
        <v>240.79999999999995</v>
      </c>
      <c r="C24" s="27">
        <f t="shared" si="5"/>
        <v>239.59999999999997</v>
      </c>
      <c r="D24" s="27">
        <f t="shared" si="5"/>
        <v>243.40000000000003</v>
      </c>
      <c r="E24" s="27">
        <f t="shared" si="5"/>
        <v>240.20000000000002</v>
      </c>
      <c r="F24" s="27">
        <f t="shared" si="5"/>
        <v>240.20000000000002</v>
      </c>
      <c r="G24" s="27">
        <f t="shared" si="5"/>
        <v>235.00000000000003</v>
      </c>
      <c r="H24" s="27">
        <f t="shared" si="5"/>
        <v>216.90600000000001</v>
      </c>
      <c r="I24" s="27">
        <f t="shared" si="5"/>
        <v>214.31900000000002</v>
      </c>
      <c r="J24" s="27">
        <f t="shared" si="5"/>
        <v>215.31899999999999</v>
      </c>
      <c r="K24" s="27">
        <f t="shared" si="5"/>
        <v>216.89999999999998</v>
      </c>
      <c r="L24" s="27">
        <f t="shared" si="5"/>
        <v>227.05799999999999</v>
      </c>
      <c r="M24" s="27">
        <f t="shared" si="5"/>
        <v>224.17600000000002</v>
      </c>
      <c r="N24" s="27">
        <f t="shared" si="5"/>
        <v>210.405</v>
      </c>
      <c r="O24" s="27">
        <f t="shared" si="5"/>
        <v>207.66300000000001</v>
      </c>
      <c r="P24" s="27">
        <f t="shared" si="5"/>
        <v>199.74</v>
      </c>
      <c r="Q24" s="27">
        <f t="shared" si="5"/>
        <v>185.36800000000002</v>
      </c>
      <c r="R24" s="27">
        <f t="shared" si="5"/>
        <v>176.03899999999999</v>
      </c>
      <c r="S24" s="27">
        <f t="shared" si="5"/>
        <v>164.4</v>
      </c>
      <c r="T24" s="27">
        <f t="shared" si="5"/>
        <v>138.15899999999999</v>
      </c>
      <c r="U24" s="27"/>
      <c r="V24" s="27"/>
      <c r="W24" s="27"/>
    </row>
    <row r="25" spans="1:33" s="24" customFormat="1">
      <c r="A25" s="19" t="s">
        <v>60</v>
      </c>
      <c r="B25" s="28">
        <v>0</v>
      </c>
      <c r="C25" s="28">
        <v>0</v>
      </c>
      <c r="D25" s="28">
        <v>0</v>
      </c>
      <c r="E25" s="28">
        <v>0</v>
      </c>
      <c r="F25" s="28">
        <v>0</v>
      </c>
      <c r="G25" s="28">
        <v>0</v>
      </c>
      <c r="H25" s="28">
        <v>0</v>
      </c>
      <c r="I25" s="28">
        <v>0</v>
      </c>
      <c r="J25" s="28">
        <v>0</v>
      </c>
      <c r="K25" s="28">
        <v>0</v>
      </c>
      <c r="L25" s="28">
        <v>0</v>
      </c>
      <c r="M25" s="28">
        <v>0</v>
      </c>
      <c r="N25" s="28">
        <v>0</v>
      </c>
      <c r="O25" s="28">
        <v>0</v>
      </c>
      <c r="P25" s="28">
        <v>0</v>
      </c>
      <c r="Q25" s="28">
        <v>0</v>
      </c>
      <c r="R25" s="28">
        <v>0</v>
      </c>
      <c r="S25" s="28">
        <v>0</v>
      </c>
      <c r="T25" s="28">
        <v>0</v>
      </c>
      <c r="U25" s="28"/>
      <c r="V25" s="28"/>
      <c r="W25" s="28"/>
    </row>
    <row r="26" spans="1:33" s="24" customFormat="1">
      <c r="A26" s="19" t="s">
        <v>61</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v>0</v>
      </c>
      <c r="S26" s="29">
        <v>0</v>
      </c>
      <c r="T26" s="29">
        <v>0</v>
      </c>
      <c r="U26" s="30"/>
      <c r="V26" s="30"/>
      <c r="W26" s="30"/>
    </row>
    <row r="27" spans="1:33" s="32" customFormat="1">
      <c r="A27" s="17" t="s">
        <v>62</v>
      </c>
      <c r="B27" s="27">
        <f t="shared" ref="B27" si="6">SUM(B24:B26)</f>
        <v>240.79999999999995</v>
      </c>
      <c r="C27" s="27">
        <f t="shared" ref="C27:D27" si="7">SUM(C24:C26)</f>
        <v>239.59999999999997</v>
      </c>
      <c r="D27" s="27">
        <f t="shared" si="7"/>
        <v>243.40000000000003</v>
      </c>
      <c r="E27" s="27">
        <f t="shared" ref="E27:F27" si="8">SUM(E24:E26)</f>
        <v>240.20000000000002</v>
      </c>
      <c r="F27" s="27">
        <f t="shared" si="8"/>
        <v>240.20000000000002</v>
      </c>
      <c r="G27" s="27">
        <f t="shared" ref="G27:H27" si="9">SUM(G24:G26)</f>
        <v>235.00000000000003</v>
      </c>
      <c r="H27" s="27">
        <f t="shared" si="9"/>
        <v>216.90600000000001</v>
      </c>
      <c r="I27" s="27">
        <f t="shared" ref="I27:J27" si="10">SUM(I24:I26)</f>
        <v>214.31900000000002</v>
      </c>
      <c r="J27" s="27">
        <f t="shared" si="10"/>
        <v>215.31899999999999</v>
      </c>
      <c r="K27" s="27">
        <f t="shared" ref="K27:T27" si="11">SUM(K24:K26)</f>
        <v>216.89999999999998</v>
      </c>
      <c r="L27" s="27">
        <f t="shared" si="11"/>
        <v>227.05799999999999</v>
      </c>
      <c r="M27" s="27">
        <f t="shared" si="11"/>
        <v>224.17600000000002</v>
      </c>
      <c r="N27" s="27">
        <f t="shared" si="11"/>
        <v>210.405</v>
      </c>
      <c r="O27" s="27">
        <f t="shared" si="11"/>
        <v>207.66300000000001</v>
      </c>
      <c r="P27" s="27">
        <f t="shared" si="11"/>
        <v>199.74</v>
      </c>
      <c r="Q27" s="27">
        <f t="shared" si="11"/>
        <v>185.36800000000002</v>
      </c>
      <c r="R27" s="27">
        <f t="shared" si="11"/>
        <v>176.03899999999999</v>
      </c>
      <c r="S27" s="27">
        <f t="shared" si="11"/>
        <v>164.4</v>
      </c>
      <c r="T27" s="27">
        <f t="shared" si="11"/>
        <v>138.15899999999999</v>
      </c>
      <c r="U27" s="31"/>
      <c r="V27" s="31"/>
      <c r="W27" s="31"/>
    </row>
    <row r="28" spans="1:33" s="24" customFormat="1"/>
    <row r="29" spans="1:33" s="17" customFormat="1">
      <c r="A29" s="17" t="s">
        <v>58</v>
      </c>
      <c r="B29" s="27">
        <f t="shared" ref="B29" si="12">B22</f>
        <v>44.800000000000004</v>
      </c>
      <c r="C29" s="27">
        <f t="shared" ref="C29:D29" si="13">C22</f>
        <v>75.499999999999943</v>
      </c>
      <c r="D29" s="27">
        <f t="shared" si="13"/>
        <v>63.800000000000004</v>
      </c>
      <c r="E29" s="27">
        <f t="shared" ref="E29:H29" si="14">E22</f>
        <v>56.7</v>
      </c>
      <c r="F29" s="27">
        <f t="shared" si="14"/>
        <v>43.600000000000009</v>
      </c>
      <c r="G29" s="27">
        <f t="shared" si="14"/>
        <v>79.3</v>
      </c>
      <c r="H29" s="27">
        <f t="shared" si="14"/>
        <v>60.6</v>
      </c>
      <c r="I29" s="27">
        <f t="shared" ref="I29:N29" si="15">I22</f>
        <v>56.70000000000001</v>
      </c>
      <c r="J29" s="27">
        <f t="shared" si="15"/>
        <v>38.4</v>
      </c>
      <c r="K29" s="27">
        <f t="shared" si="15"/>
        <v>61.205999999999996</v>
      </c>
      <c r="L29" s="27">
        <f t="shared" si="15"/>
        <v>58.013000000000005</v>
      </c>
      <c r="M29" s="27">
        <f t="shared" si="15"/>
        <v>57.699999999999996</v>
      </c>
      <c r="N29" s="27">
        <f t="shared" si="15"/>
        <v>39.981000000000002</v>
      </c>
      <c r="O29" s="27">
        <f t="shared" ref="O29:W29" si="16">O22</f>
        <v>71.364000000000004</v>
      </c>
      <c r="P29" s="27">
        <f t="shared" si="16"/>
        <v>55.131</v>
      </c>
      <c r="Q29" s="27">
        <f t="shared" si="16"/>
        <v>43.929000000000002</v>
      </c>
      <c r="R29" s="27">
        <f t="shared" si="16"/>
        <v>37.238999999999997</v>
      </c>
      <c r="S29" s="27">
        <f t="shared" si="16"/>
        <v>63.441000000000017</v>
      </c>
      <c r="T29" s="27">
        <f t="shared" si="16"/>
        <v>40.758999999999993</v>
      </c>
      <c r="U29" s="27">
        <f t="shared" si="16"/>
        <v>34.6</v>
      </c>
      <c r="V29" s="27">
        <f t="shared" si="16"/>
        <v>25.6</v>
      </c>
      <c r="W29" s="27">
        <f t="shared" si="16"/>
        <v>37.200000000000003</v>
      </c>
    </row>
    <row r="30" spans="1:33" s="33" customFormat="1">
      <c r="A30" s="20" t="s">
        <v>63</v>
      </c>
      <c r="B30" s="36">
        <v>-7.6239999999999997</v>
      </c>
      <c r="C30" s="36">
        <f>-38.68-D30-E30-F30</f>
        <v>-7.48</v>
      </c>
      <c r="D30" s="36">
        <f>-31.2-E30-F30</f>
        <v>-8.2469999999999999</v>
      </c>
      <c r="E30" s="36">
        <f>-22.953-F30</f>
        <v>-10.684999999999999</v>
      </c>
      <c r="F30" s="36">
        <v>-12.268000000000001</v>
      </c>
      <c r="G30" s="36">
        <f>-52.786-H30-I30-J30</f>
        <v>-13.377000000000002</v>
      </c>
      <c r="H30" s="36">
        <f>-39.409-I30-J30</f>
        <v>-13.228999999999999</v>
      </c>
      <c r="I30" s="36">
        <f>-26.18-J30</f>
        <v>-12.856999999999999</v>
      </c>
      <c r="J30" s="36">
        <v>-13.323</v>
      </c>
      <c r="K30" s="36">
        <f>-43.596-L30-M30-N30</f>
        <v>-12.416999999999996</v>
      </c>
      <c r="L30" s="20">
        <f>-31.179-N30-M30</f>
        <v>-10.676</v>
      </c>
      <c r="M30" s="20">
        <f>-20.503-N30</f>
        <v>-9.7539999999999996</v>
      </c>
      <c r="N30" s="20">
        <v>-10.749000000000001</v>
      </c>
      <c r="O30" s="20">
        <f>-43.426-R30-Q30-P30</f>
        <v>-11.880000000000004</v>
      </c>
      <c r="P30" s="20">
        <f>-31.546-R30-Q30</f>
        <v>-10.841999999999997</v>
      </c>
      <c r="Q30" s="20">
        <v>-10.254</v>
      </c>
      <c r="R30" s="20">
        <f>-20.704-Q30</f>
        <v>-10.450000000000001</v>
      </c>
      <c r="S30" s="20">
        <f>-36.75-V30-U30-T30</f>
        <v>-11.315999999999994</v>
      </c>
      <c r="T30" s="20">
        <f>-25.434-V30-U30</f>
        <v>-10.228000000000003</v>
      </c>
      <c r="U30" s="20">
        <v>-7.5540000000000003</v>
      </c>
      <c r="V30" s="20">
        <f>-15.206-U30</f>
        <v>-7.6519999999999992</v>
      </c>
      <c r="W30" s="20">
        <f>-30.511-X30</f>
        <v>-30.510999999999999</v>
      </c>
      <c r="Y30" s="117"/>
      <c r="Z30" s="117"/>
      <c r="AA30" s="117"/>
      <c r="AB30" s="117"/>
      <c r="AC30" s="117"/>
      <c r="AD30" s="117"/>
      <c r="AE30" s="117"/>
      <c r="AF30" s="117"/>
      <c r="AG30" s="117"/>
    </row>
    <row r="31" spans="1:33" s="33" customFormat="1">
      <c r="A31" s="20" t="s">
        <v>64</v>
      </c>
      <c r="B31" s="36">
        <v>-1.3340000000000001</v>
      </c>
      <c r="C31" s="36">
        <f>-8.427-D31-E31-F31</f>
        <v>-4.5619999999999994</v>
      </c>
      <c r="D31" s="36">
        <f>-3.865-E31-F31</f>
        <v>-1.732</v>
      </c>
      <c r="E31" s="36">
        <f>-2.133-F31</f>
        <v>-0.75100000000000011</v>
      </c>
      <c r="F31" s="36">
        <v>-1.3819999999999999</v>
      </c>
      <c r="G31" s="36">
        <f>-10.34-H31-I31-J31</f>
        <v>-1.609</v>
      </c>
      <c r="H31" s="36">
        <f>-8.731-I31-J31</f>
        <v>-4.1459999999999999</v>
      </c>
      <c r="I31" s="36">
        <f>-4.585-J31</f>
        <v>-3.548</v>
      </c>
      <c r="J31" s="36">
        <v>-1.0369999999999999</v>
      </c>
      <c r="K31" s="36">
        <f>-4.45-L31-M31-N31</f>
        <v>-0.43000000000000055</v>
      </c>
      <c r="L31" s="20">
        <f>-4.02-N31-M31</f>
        <v>-1.9429999999999996</v>
      </c>
      <c r="M31" s="20">
        <f>-2.077-N31</f>
        <v>-1.891</v>
      </c>
      <c r="N31" s="20">
        <v>-0.186</v>
      </c>
      <c r="O31" s="20">
        <f>-3.017-R31-Q31-P31</f>
        <v>-0.68199999999999994</v>
      </c>
      <c r="P31" s="20">
        <f>-2.335-R31-Q31</f>
        <v>-1.8569999999999998</v>
      </c>
      <c r="Q31" s="20">
        <v>-0.47899999999999998</v>
      </c>
      <c r="R31" s="20">
        <f>-0.478-Q31</f>
        <v>1.0000000000000009E-3</v>
      </c>
      <c r="S31" s="20">
        <f>-3.964-V31-U31-T31</f>
        <v>-0.2370000000000001</v>
      </c>
      <c r="T31" s="20">
        <f>-3.727-V31-U31</f>
        <v>-3.6669999999999998</v>
      </c>
      <c r="U31" s="20">
        <v>-0.06</v>
      </c>
      <c r="V31" s="20">
        <f>-0.06-U31</f>
        <v>0</v>
      </c>
      <c r="W31" s="20">
        <f>-8.685-X31</f>
        <v>-8.6850000000000005</v>
      </c>
      <c r="Y31" s="117"/>
      <c r="Z31" s="117"/>
      <c r="AA31" s="117"/>
      <c r="AB31" s="117"/>
      <c r="AC31" s="117"/>
      <c r="AD31" s="117"/>
      <c r="AE31" s="117"/>
      <c r="AF31" s="117"/>
      <c r="AG31" s="117"/>
    </row>
    <row r="32" spans="1:33" s="33" customFormat="1">
      <c r="A32" s="20" t="s">
        <v>65</v>
      </c>
      <c r="B32" s="20">
        <f>18.083-11.551+21.458-0.465-12.652-32.356+8.01-1.271-4.873</f>
        <v>-15.617000000000004</v>
      </c>
      <c r="C32" s="20">
        <f>-6.844-7.604-4.136+2.088+8.017+3.41-12.556+0.592+15.73-D32-E32-F32</f>
        <v>20.388000000000009</v>
      </c>
      <c r="D32" s="20">
        <f>8.685-25.523-1.486+1.359+8.938-19.919-7.893+1.62+12.528-E32-F32</f>
        <v>11.766999999999996</v>
      </c>
      <c r="E32" s="20">
        <f>7.256-17.8-5.377-3.715+6.004-16.794-4.92+2.14-0.252-F32</f>
        <v>-20.031000000000006</v>
      </c>
      <c r="F32" s="20">
        <f>11.087-14.613+3.042-0.631-11.056-9.378+4.651+1.388+2.083</f>
        <v>-13.427</v>
      </c>
      <c r="G32" s="20">
        <f>-13.235-1.469-23.827+9.447+9.408-9.159+21.311-3.651+12.362-H32-I32-J32</f>
        <v>23.265000000000001</v>
      </c>
      <c r="H32" s="20">
        <f>7.495-17.664-6.912+7.26-2.819-19.578+13.051-6.786+3.875-I32-J32</f>
        <v>-12.689000000000002</v>
      </c>
      <c r="I32" s="20">
        <f>20.6-14.175-8.159+7.487-8.875-11.178+5.774-1.742+0.879-J32</f>
        <v>2.1549999999999976</v>
      </c>
      <c r="J32" s="20">
        <f>12.995-20.502+7.22+5.988-9.143-15.394+12.012-4.503-0.217</f>
        <v>-11.543999999999999</v>
      </c>
      <c r="K32" s="20">
        <f>-3.139-12.051-3.544-3.773+24.945-22.851-9.254+2.777-2.436-L32-M32-N32</f>
        <v>13.485000000000007</v>
      </c>
      <c r="L32" s="20">
        <f>14.509-20.385-18.519-5.559+26.91-33.548-5.567+3.471-4.123-N32-M32</f>
        <v>-32.162000000000006</v>
      </c>
      <c r="M32" s="20">
        <f>28.946-14.936-7.848-5.156+22.821-30.81-2.032+1.849-3.483-N32</f>
        <v>2.6130000000000049</v>
      </c>
      <c r="N32" s="20">
        <f>18.864-8.259+1.905+0.938-0.513-32.81+9.313-2.341-0.359</f>
        <v>-13.261999999999999</v>
      </c>
      <c r="O32" s="20">
        <f>-44.047-5.948-17.296-2.971+4.707-2.243+1.301+6.656-3.593-R32-Q32-P32</f>
        <v>-23.606000000000009</v>
      </c>
      <c r="P32" s="20">
        <f>-6.454-7.964-8.9-9.139-1.009-10.678+0.249-1.181+5.248-R32-Q32</f>
        <v>-7.8379999999999868</v>
      </c>
      <c r="Q32" s="20">
        <f>-5.093-8.473+1.401-3.889-1.552-13.926-1.205-3.497+4.244-R32</f>
        <v>11.209999999999994</v>
      </c>
      <c r="R32" s="20">
        <f>-10-15.9+2.3-9.5-11.9+1.8</f>
        <v>-43.199999999999996</v>
      </c>
      <c r="S32" s="20">
        <f>-3.973+2.484-15.258+3.044+15.682-31.446-13.389+4.329+16.008-V32-U32-T32</f>
        <v>13.372000000000002</v>
      </c>
      <c r="T32" s="20">
        <f>8.563-2.659-6.577-0.32+1.895-32.796-12.656+0.455+8.204-V32-U32</f>
        <v>-20.748999999999995</v>
      </c>
      <c r="U32" s="20">
        <f>4.796-0.988+0.856+0.3-2.876-14.499-8.189+4.299+1.159-V32</f>
        <v>5.3580000000000023</v>
      </c>
      <c r="V32" s="20">
        <f>15.5-12.9-2.6-1.3-19.1-0.1</f>
        <v>-20.500000000000004</v>
      </c>
      <c r="W32" s="20">
        <f>9.496-0.044+17.848+3.458-14.941-14.568+7.497-6.224-3.194-(8.9-19.1+10.3-21.2+2.9-1.3)</f>
        <v>18.827999999999999</v>
      </c>
      <c r="Y32" s="117"/>
      <c r="Z32" s="117"/>
      <c r="AA32" s="117"/>
      <c r="AB32" s="117"/>
      <c r="AC32" s="117"/>
      <c r="AD32" s="117"/>
      <c r="AE32" s="117"/>
      <c r="AF32" s="117"/>
      <c r="AG32" s="117"/>
    </row>
    <row r="33" spans="1:33"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c r="W33" s="20">
        <v>0</v>
      </c>
      <c r="Y33" s="117"/>
      <c r="Z33" s="117"/>
      <c r="AA33" s="117"/>
      <c r="AB33" s="117"/>
      <c r="AC33" s="117"/>
      <c r="AD33" s="117"/>
      <c r="AE33" s="117"/>
      <c r="AF33" s="117"/>
      <c r="AG33" s="117"/>
    </row>
    <row r="34" spans="1:33"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row>
    <row r="35" spans="1:33" s="27" customFormat="1">
      <c r="A35" s="27" t="s">
        <v>67</v>
      </c>
      <c r="B35" s="27">
        <v>15.614000000000001</v>
      </c>
      <c r="C35" s="27">
        <f>158.358-D35-E35-F35</f>
        <v>75.872</v>
      </c>
      <c r="D35" s="27">
        <f>82.486-E35-F35</f>
        <v>60.503</v>
      </c>
      <c r="E35" s="27">
        <f>21.983-F35</f>
        <v>17.251000000000001</v>
      </c>
      <c r="F35" s="27">
        <v>4.7320000000000002</v>
      </c>
      <c r="G35" s="27">
        <f>125.196-H35-I35-J35</f>
        <v>70.838999999999984</v>
      </c>
      <c r="H35" s="27">
        <f>54.357-I35-J35</f>
        <v>27.012999999999998</v>
      </c>
      <c r="I35" s="27">
        <f>27.344-J35</f>
        <v>23.21</v>
      </c>
      <c r="J35" s="27">
        <v>4.1340000000000003</v>
      </c>
      <c r="K35" s="27">
        <f>81.017-L35-M35-N35</f>
        <v>44.228999999999999</v>
      </c>
      <c r="L35" s="27">
        <f>36.788-N35-M35</f>
        <v>-5.0629999999999988</v>
      </c>
      <c r="M35" s="27">
        <f>41.851-N35</f>
        <v>36.269999999999996</v>
      </c>
      <c r="N35" s="27">
        <v>5.5810000000000004</v>
      </c>
      <c r="O35" s="27">
        <f>28.502-R35-Q35-P35</f>
        <v>12.709000000000003</v>
      </c>
      <c r="P35" s="27">
        <f>15.793-R35-Q35</f>
        <v>19.066999999999997</v>
      </c>
      <c r="Q35" s="27">
        <f>-3.274-R35</f>
        <v>23.925999999999998</v>
      </c>
      <c r="R35" s="27">
        <v>-27.2</v>
      </c>
      <c r="S35" s="27">
        <f>33.637-V35-U35-T35</f>
        <v>22.981999999999999</v>
      </c>
      <c r="T35" s="27">
        <f>10.655-V35-U35</f>
        <v>4.6359999999999992</v>
      </c>
      <c r="U35" s="27">
        <f>6.019-V35</f>
        <v>9.8189999999999991</v>
      </c>
      <c r="V35" s="27">
        <v>-3.8</v>
      </c>
      <c r="W35" s="27">
        <f>41.115-12.7</f>
        <v>28.415000000000003</v>
      </c>
      <c r="Y35" s="33"/>
    </row>
    <row r="36" spans="1:33" s="33" customFormat="1">
      <c r="A36" s="20" t="s">
        <v>68</v>
      </c>
      <c r="B36" s="29">
        <f>-17.26-0.081</f>
        <v>-17.341000000000001</v>
      </c>
      <c r="C36" s="29">
        <f>-88.456-D36-E36-F36</f>
        <v>-22.531999999999993</v>
      </c>
      <c r="D36" s="29">
        <f>-65.924-E36-F36</f>
        <v>-26.543000000000003</v>
      </c>
      <c r="E36" s="29">
        <f>-38.759-0.622-F36</f>
        <v>-21.599</v>
      </c>
      <c r="F36" s="29">
        <f>-17.572-0.21</f>
        <v>-17.782</v>
      </c>
      <c r="G36" s="29">
        <f>-88.869-H36-I36-J36</f>
        <v>-24.921000000000003</v>
      </c>
      <c r="H36" s="29">
        <f>-63.948-I36-J36</f>
        <v>-20.367999999999991</v>
      </c>
      <c r="I36" s="29">
        <f>-40.682-2.898-J36</f>
        <v>-25.670000000000005</v>
      </c>
      <c r="J36" s="29">
        <f>-17.569-0.341</f>
        <v>-17.91</v>
      </c>
      <c r="K36" s="29">
        <f>-80.713-L36-M36-N36</f>
        <v>-26.143999999999991</v>
      </c>
      <c r="L36" s="29">
        <f>-54.569-N36-M36</f>
        <v>-22.899000000000001</v>
      </c>
      <c r="M36" s="29">
        <f>-31.67-N36</f>
        <v>-16.413000000000004</v>
      </c>
      <c r="N36" s="29">
        <v>-15.257</v>
      </c>
      <c r="O36" s="29">
        <f>-57.775-R36-Q36-P36</f>
        <v>-17.299999999999997</v>
      </c>
      <c r="P36" s="29">
        <f>-40.475-R36-Q36</f>
        <v>-13.269</v>
      </c>
      <c r="Q36" s="29">
        <f>-27.206-R36</f>
        <v>-13.606</v>
      </c>
      <c r="R36" s="29">
        <v>-13.6</v>
      </c>
      <c r="S36" s="29">
        <f>-47.728-V36-U36-T36</f>
        <v>-13.011000000000005</v>
      </c>
      <c r="T36" s="29">
        <f>-34.717-V36-U36</f>
        <v>-12.664999999999997</v>
      </c>
      <c r="U36" s="29">
        <f>-22.052-V36</f>
        <v>-11.952</v>
      </c>
      <c r="V36" s="29">
        <v>-10.1</v>
      </c>
      <c r="W36" s="29">
        <f>-44.079+34.6</f>
        <v>-9.4789999999999992</v>
      </c>
      <c r="Y36" s="27"/>
    </row>
    <row r="37" spans="1:33" s="27" customFormat="1">
      <c r="A37" s="27" t="s">
        <v>69</v>
      </c>
      <c r="B37" s="27">
        <f t="shared" ref="B37:W37" si="17">+B35+B36</f>
        <v>-1.7270000000000003</v>
      </c>
      <c r="C37" s="27">
        <f t="shared" si="17"/>
        <v>53.34</v>
      </c>
      <c r="D37" s="27">
        <f t="shared" si="17"/>
        <v>33.959999999999994</v>
      </c>
      <c r="E37" s="27">
        <f t="shared" si="17"/>
        <v>-4.347999999999999</v>
      </c>
      <c r="F37" s="27">
        <f t="shared" si="17"/>
        <v>-13.05</v>
      </c>
      <c r="G37" s="27">
        <f t="shared" si="17"/>
        <v>45.917999999999978</v>
      </c>
      <c r="H37" s="27">
        <f t="shared" si="17"/>
        <v>6.6450000000000067</v>
      </c>
      <c r="I37" s="27">
        <f t="shared" si="17"/>
        <v>-2.4600000000000044</v>
      </c>
      <c r="J37" s="27">
        <f t="shared" si="17"/>
        <v>-13.776</v>
      </c>
      <c r="K37" s="27">
        <f t="shared" si="17"/>
        <v>18.085000000000008</v>
      </c>
      <c r="L37" s="27">
        <f t="shared" si="17"/>
        <v>-27.962</v>
      </c>
      <c r="M37" s="27">
        <f t="shared" si="17"/>
        <v>19.856999999999992</v>
      </c>
      <c r="N37" s="27">
        <f t="shared" si="17"/>
        <v>-9.6759999999999984</v>
      </c>
      <c r="O37" s="27">
        <f t="shared" si="17"/>
        <v>-4.590999999999994</v>
      </c>
      <c r="P37" s="27">
        <f t="shared" si="17"/>
        <v>5.7979999999999965</v>
      </c>
      <c r="Q37" s="27">
        <f t="shared" si="17"/>
        <v>10.319999999999999</v>
      </c>
      <c r="R37" s="27">
        <f t="shared" si="17"/>
        <v>-40.799999999999997</v>
      </c>
      <c r="S37" s="27">
        <f t="shared" si="17"/>
        <v>9.9709999999999948</v>
      </c>
      <c r="T37" s="27">
        <f t="shared" si="17"/>
        <v>-8.0289999999999981</v>
      </c>
      <c r="U37" s="27">
        <f t="shared" si="17"/>
        <v>-2.1330000000000009</v>
      </c>
      <c r="V37" s="27">
        <f t="shared" si="17"/>
        <v>-13.899999999999999</v>
      </c>
      <c r="W37" s="27">
        <f t="shared" si="17"/>
        <v>18.936000000000003</v>
      </c>
    </row>
    <row r="39" spans="1:33" s="35" customFormat="1">
      <c r="A39" s="34" t="s">
        <v>70</v>
      </c>
      <c r="B39" s="20">
        <v>0</v>
      </c>
      <c r="C39" s="20">
        <v>0</v>
      </c>
      <c r="D39" s="20">
        <v>0</v>
      </c>
      <c r="E39" s="20">
        <v>0</v>
      </c>
      <c r="F39" s="20">
        <v>0</v>
      </c>
      <c r="G39" s="20">
        <v>0</v>
      </c>
      <c r="H39" s="20">
        <v>0</v>
      </c>
      <c r="I39" s="20">
        <v>0</v>
      </c>
      <c r="J39" s="20">
        <v>0</v>
      </c>
      <c r="K39" s="20">
        <v>0</v>
      </c>
      <c r="L39" s="20">
        <v>0</v>
      </c>
      <c r="M39" s="20">
        <v>0</v>
      </c>
      <c r="N39" s="20">
        <v>0</v>
      </c>
      <c r="O39" s="20">
        <v>6.93</v>
      </c>
      <c r="P39" s="20">
        <v>60</v>
      </c>
      <c r="Q39" s="20">
        <v>0</v>
      </c>
      <c r="R39" s="20">
        <v>0</v>
      </c>
      <c r="S39" s="20">
        <v>18</v>
      </c>
      <c r="T39" s="20">
        <v>0</v>
      </c>
      <c r="U39" s="20"/>
      <c r="V39" s="20"/>
      <c r="W39" s="20"/>
      <c r="Y39" s="33"/>
    </row>
    <row r="40" spans="1:33" s="35" customFormat="1">
      <c r="A40" s="34" t="s">
        <v>71</v>
      </c>
      <c r="B40" s="20">
        <f>816.907+70.085+0.56+39.1</f>
        <v>926.65200000000004</v>
      </c>
      <c r="C40" s="20">
        <f>819.3+1.7+64.5+37.6</f>
        <v>923.1</v>
      </c>
      <c r="D40" s="20">
        <f>821.646+56.003+1.617+37.3</f>
        <v>916.56599999999992</v>
      </c>
      <c r="E40" s="20">
        <f>824.015+53.192+1.602+36.7</f>
        <v>915.50900000000001</v>
      </c>
      <c r="F40" s="20">
        <f>926.384+48.096+1.661+38</f>
        <v>1014.141</v>
      </c>
      <c r="G40" s="20">
        <f>928.753+45.96+1.635+36.1</f>
        <v>1012.4480000000001</v>
      </c>
      <c r="H40" s="20">
        <f>931.123+26.252+1.73+32.2</f>
        <v>991.30500000000006</v>
      </c>
      <c r="I40" s="20">
        <f>933.492+21.5+1.729+34.5</f>
        <v>991.221</v>
      </c>
      <c r="J40" s="20">
        <f>935.861+15.268+1.784+30.1</f>
        <v>983.01300000000003</v>
      </c>
      <c r="K40" s="20">
        <f>938.23+11.588+1.835+32.1</f>
        <v>983.75300000000004</v>
      </c>
      <c r="L40" s="20">
        <f>790.6+9.615+1.868</f>
        <v>802.08300000000008</v>
      </c>
      <c r="M40" s="20">
        <f>792.591+6.423</f>
        <v>799.01400000000001</v>
      </c>
      <c r="N40" s="20">
        <f>794.583+6.677</f>
        <v>801.26</v>
      </c>
      <c r="O40" s="20">
        <v>896.57399999999996</v>
      </c>
      <c r="P40" s="20">
        <f>636.003+182.688+7.1</f>
        <v>825.79100000000005</v>
      </c>
      <c r="Q40" s="20">
        <f>637.65+183.15</f>
        <v>820.8</v>
      </c>
      <c r="R40" s="20">
        <f>R41-8.707</f>
        <v>822.69299999999998</v>
      </c>
      <c r="S40" s="20">
        <f>491.113+184.075</f>
        <v>675.18799999999999</v>
      </c>
      <c r="T40" s="20">
        <v>676.9</v>
      </c>
      <c r="U40" s="20"/>
      <c r="V40" s="20"/>
      <c r="W40" s="20"/>
      <c r="Y40" s="33"/>
    </row>
    <row r="41" spans="1:33" s="35" customFormat="1">
      <c r="A41" s="34" t="s">
        <v>72</v>
      </c>
      <c r="B41" s="20">
        <f>B39+B40</f>
        <v>926.65200000000004</v>
      </c>
      <c r="C41" s="20">
        <f>C39+C40+0.661</f>
        <v>923.76099999999997</v>
      </c>
      <c r="D41" s="20">
        <f>D39+D40+0.661</f>
        <v>917.22699999999986</v>
      </c>
      <c r="E41" s="20">
        <f>E39+E40+0.711</f>
        <v>916.22</v>
      </c>
      <c r="F41" s="20">
        <f>F39+F40+0.759</f>
        <v>1014.9</v>
      </c>
      <c r="G41" s="20">
        <f>G39+G40+0.807</f>
        <v>1013.2550000000001</v>
      </c>
      <c r="H41" s="20">
        <f>H39+H40+1.71</f>
        <v>993.0150000000001</v>
      </c>
      <c r="I41" s="20">
        <f>I39+I40+1.844</f>
        <v>993.06500000000005</v>
      </c>
      <c r="J41" s="20">
        <f>J39+J40+1.976</f>
        <v>984.98900000000003</v>
      </c>
      <c r="K41" s="20">
        <f>K39+K40+2.106</f>
        <v>985.85900000000004</v>
      </c>
      <c r="L41" s="20">
        <f>L39+L40+2.31</f>
        <v>804.39300000000003</v>
      </c>
      <c r="M41" s="20">
        <f>M39+M40+2.592</f>
        <v>801.60599999999999</v>
      </c>
      <c r="N41" s="20">
        <f>N39+N40+2.869</f>
        <v>804.12900000000002</v>
      </c>
      <c r="O41" s="20">
        <f>O39+O40+3.287</f>
        <v>906.79099999999994</v>
      </c>
      <c r="P41" s="20">
        <f>P39+P40+7.414</f>
        <v>893.20500000000004</v>
      </c>
      <c r="Q41" s="20">
        <f>Q39+Q40+8.707</f>
        <v>829.50699999999995</v>
      </c>
      <c r="R41" s="20">
        <f>797.9+13.5+20</f>
        <v>831.4</v>
      </c>
      <c r="S41" s="20">
        <f>S39+S40+75+11.223</f>
        <v>779.41099999999994</v>
      </c>
      <c r="T41" s="20">
        <v>805.2</v>
      </c>
      <c r="U41" s="20"/>
      <c r="V41" s="20"/>
      <c r="W41" s="20"/>
      <c r="Y41" s="33"/>
    </row>
    <row r="42" spans="1:33" s="35" customFormat="1">
      <c r="A42" s="34" t="s">
        <v>73</v>
      </c>
      <c r="B42" s="36">
        <f>119650959/1000000*27.25</f>
        <v>3260.4886327499999</v>
      </c>
      <c r="C42" s="36">
        <f>118276418/1000000*22.93</f>
        <v>2712.0782647400001</v>
      </c>
      <c r="D42" s="36">
        <f>117199388/1000000*20.07</f>
        <v>2352.1917171599998</v>
      </c>
      <c r="E42" s="36">
        <f>116974960/1000000*15.56</f>
        <v>1820.1303776</v>
      </c>
      <c r="F42" s="36">
        <f>115833974/1000000*24.29</f>
        <v>2813.60722846</v>
      </c>
      <c r="G42" s="36">
        <f>114400103/1000000*19.03</f>
        <v>2177.0339600900002</v>
      </c>
      <c r="H42" s="36">
        <f>114343957/1000000*13.55</f>
        <v>1549.3606173500002</v>
      </c>
      <c r="I42" s="36">
        <f>114219799/1000000*12.47</f>
        <v>1424.3208935299999</v>
      </c>
      <c r="J42" s="36">
        <f>114122042/1000000*10.94</f>
        <v>1248.4951394799998</v>
      </c>
      <c r="K42" s="36">
        <f>113929488/1000000*9.14</f>
        <v>1041.3155203200001</v>
      </c>
      <c r="L42" s="36">
        <f>113890779/1000000*20.5</f>
        <v>2334.7609695000001</v>
      </c>
      <c r="M42" s="36">
        <f>113786702/1000000*21.29</f>
        <v>2422.5188855800002</v>
      </c>
      <c r="N42" s="36">
        <f>113264493/1000000*21.65</f>
        <v>2452.1762734499998</v>
      </c>
      <c r="O42" s="36">
        <f>113264709/1000000*23.71</f>
        <v>2685.5062503899999</v>
      </c>
      <c r="P42" s="36">
        <v>0</v>
      </c>
      <c r="Q42" s="36">
        <v>0</v>
      </c>
      <c r="R42" s="36">
        <v>0</v>
      </c>
      <c r="S42" s="36">
        <v>0</v>
      </c>
      <c r="T42" s="36">
        <v>0</v>
      </c>
      <c r="U42" s="36"/>
      <c r="V42" s="36"/>
      <c r="W42" s="36"/>
      <c r="Y42" s="33"/>
    </row>
    <row r="43" spans="1:33">
      <c r="B43" s="35"/>
      <c r="C43" s="35"/>
      <c r="D43" s="35"/>
      <c r="E43" s="35"/>
      <c r="F43" s="35"/>
      <c r="G43" s="35"/>
      <c r="H43" s="35"/>
      <c r="I43" s="35"/>
      <c r="J43" s="35"/>
      <c r="K43" s="35"/>
      <c r="L43" s="35"/>
      <c r="M43" s="35"/>
      <c r="N43" s="35"/>
      <c r="O43" s="35"/>
      <c r="P43" s="35"/>
      <c r="Q43" s="35"/>
      <c r="R43" s="35"/>
      <c r="Y43" s="27"/>
    </row>
    <row r="44" spans="1:33">
      <c r="A44" s="19" t="s">
        <v>74</v>
      </c>
      <c r="B44" s="28">
        <v>197.92</v>
      </c>
      <c r="C44" s="28">
        <v>193.001</v>
      </c>
      <c r="D44" s="28">
        <v>142.73699999999999</v>
      </c>
      <c r="E44" s="28">
        <v>108.495</v>
      </c>
      <c r="F44" s="28">
        <v>194.90299999999999</v>
      </c>
      <c r="G44" s="28">
        <v>109.881</v>
      </c>
      <c r="H44" s="28">
        <v>61.122</v>
      </c>
      <c r="I44" s="28">
        <v>66.75</v>
      </c>
      <c r="J44" s="28">
        <v>63.165999999999997</v>
      </c>
      <c r="K44" s="28">
        <v>82.364999999999995</v>
      </c>
      <c r="L44" s="28">
        <v>57.307000000000002</v>
      </c>
      <c r="M44" s="28">
        <v>75.742000000000004</v>
      </c>
      <c r="N44" s="28">
        <v>82.364999999999995</v>
      </c>
      <c r="O44" s="28">
        <v>59.253999999999998</v>
      </c>
      <c r="P44" s="28">
        <v>54.018000000000001</v>
      </c>
      <c r="Q44" s="28">
        <v>49.712000000000003</v>
      </c>
      <c r="R44" s="28">
        <v>46.2</v>
      </c>
      <c r="S44" s="28">
        <v>50.362000000000002</v>
      </c>
      <c r="T44" s="28">
        <v>47.6</v>
      </c>
      <c r="U44" s="28"/>
      <c r="V44" s="28"/>
      <c r="W44" s="28"/>
    </row>
    <row r="46" spans="1:33">
      <c r="A46" s="14" t="s">
        <v>75</v>
      </c>
      <c r="B46" s="33">
        <f>SUM(B12:E12)</f>
        <v>1405.5439999999999</v>
      </c>
      <c r="C46" s="33">
        <f>SUM(C12:F12)</f>
        <v>1429.4559999999999</v>
      </c>
      <c r="D46" s="33">
        <f t="shared" ref="D46:T46" si="18">SUM(D12:G12)</f>
        <v>1458.0630000000001</v>
      </c>
      <c r="E46" s="33">
        <f t="shared" si="18"/>
        <v>1470.5790000000002</v>
      </c>
      <c r="F46" s="33">
        <f t="shared" si="18"/>
        <v>1467.5440000000001</v>
      </c>
      <c r="G46" s="33">
        <f t="shared" si="18"/>
        <v>1444.441</v>
      </c>
      <c r="H46" s="33">
        <f t="shared" si="18"/>
        <v>1398.298</v>
      </c>
      <c r="I46" s="33">
        <f t="shared" si="18"/>
        <v>1380.4299999999998</v>
      </c>
      <c r="J46" s="33">
        <f t="shared" si="18"/>
        <v>1365.4920000000002</v>
      </c>
      <c r="K46" s="33">
        <f t="shared" si="18"/>
        <v>1339.5409999999999</v>
      </c>
      <c r="L46" s="33">
        <f t="shared" si="18"/>
        <v>1329.7239999999997</v>
      </c>
      <c r="M46" s="33">
        <f t="shared" si="18"/>
        <v>1298.3919999999998</v>
      </c>
      <c r="N46" s="33">
        <f t="shared" si="18"/>
        <v>1264.6039999999998</v>
      </c>
      <c r="O46" s="33">
        <f t="shared" si="18"/>
        <v>1247.424</v>
      </c>
      <c r="P46" s="33">
        <f t="shared" si="18"/>
        <v>1210.3240000000001</v>
      </c>
      <c r="Q46" s="33">
        <f t="shared" si="18"/>
        <v>1192.4459999999997</v>
      </c>
      <c r="R46" s="33">
        <f t="shared" si="18"/>
        <v>1162.5899999999999</v>
      </c>
      <c r="S46" s="33">
        <f t="shared" si="18"/>
        <v>1137.1959999999999</v>
      </c>
      <c r="T46" s="33">
        <f t="shared" si="18"/>
        <v>1094.3539999999998</v>
      </c>
    </row>
    <row r="47" spans="1:33">
      <c r="A47" s="14" t="s">
        <v>76</v>
      </c>
      <c r="B47" s="33">
        <f t="shared" ref="B47:C47" si="19">+B27</f>
        <v>240.79999999999995</v>
      </c>
      <c r="C47" s="33">
        <f t="shared" si="19"/>
        <v>239.59999999999997</v>
      </c>
      <c r="D47" s="33">
        <f t="shared" ref="D47:E47" si="20">+D27</f>
        <v>243.40000000000003</v>
      </c>
      <c r="E47" s="33">
        <f t="shared" si="20"/>
        <v>240.20000000000002</v>
      </c>
      <c r="F47" s="33">
        <f t="shared" ref="F47:G47" si="21">+F27</f>
        <v>240.20000000000002</v>
      </c>
      <c r="G47" s="33">
        <f t="shared" si="21"/>
        <v>235.00000000000003</v>
      </c>
      <c r="H47" s="33">
        <f t="shared" ref="H47:M47" si="22">+H27</f>
        <v>216.90600000000001</v>
      </c>
      <c r="I47" s="33">
        <f t="shared" si="22"/>
        <v>214.31900000000002</v>
      </c>
      <c r="J47" s="33">
        <f t="shared" si="22"/>
        <v>215.31899999999999</v>
      </c>
      <c r="K47" s="33">
        <f t="shared" si="22"/>
        <v>216.89999999999998</v>
      </c>
      <c r="L47" s="33">
        <f t="shared" si="22"/>
        <v>227.05799999999999</v>
      </c>
      <c r="M47" s="33">
        <f t="shared" si="22"/>
        <v>224.17600000000002</v>
      </c>
      <c r="N47" s="33">
        <f t="shared" ref="N47:T47" si="23">+N27</f>
        <v>210.405</v>
      </c>
      <c r="O47" s="33">
        <f t="shared" si="23"/>
        <v>207.66300000000001</v>
      </c>
      <c r="P47" s="33">
        <f t="shared" si="23"/>
        <v>199.74</v>
      </c>
      <c r="Q47" s="33">
        <f t="shared" si="23"/>
        <v>185.36800000000002</v>
      </c>
      <c r="R47" s="33">
        <f t="shared" si="23"/>
        <v>176.03899999999999</v>
      </c>
      <c r="S47" s="33">
        <f t="shared" si="23"/>
        <v>164.4</v>
      </c>
      <c r="T47" s="33">
        <f t="shared" si="23"/>
        <v>138.15899999999999</v>
      </c>
    </row>
    <row r="48" spans="1:33">
      <c r="A48" s="14" t="s">
        <v>77</v>
      </c>
      <c r="B48" s="33">
        <f t="shared" ref="B48:T48" si="24">+SUM(B37:E37)</f>
        <v>81.224999999999994</v>
      </c>
      <c r="C48" s="33">
        <f t="shared" si="24"/>
        <v>69.902000000000001</v>
      </c>
      <c r="D48" s="33">
        <f t="shared" si="24"/>
        <v>62.479999999999976</v>
      </c>
      <c r="E48" s="33">
        <f t="shared" si="24"/>
        <v>35.164999999999985</v>
      </c>
      <c r="F48" s="33">
        <f t="shared" si="24"/>
        <v>37.052999999999983</v>
      </c>
      <c r="G48" s="33">
        <f t="shared" si="24"/>
        <v>36.326999999999984</v>
      </c>
      <c r="H48" s="33">
        <f t="shared" si="24"/>
        <v>8.4940000000000104</v>
      </c>
      <c r="I48" s="33">
        <f t="shared" si="24"/>
        <v>-26.112999999999996</v>
      </c>
      <c r="J48" s="33">
        <f t="shared" si="24"/>
        <v>-3.7959999999999994</v>
      </c>
      <c r="K48" s="33">
        <f t="shared" si="24"/>
        <v>0.30400000000000205</v>
      </c>
      <c r="L48" s="33">
        <f t="shared" si="24"/>
        <v>-22.372</v>
      </c>
      <c r="M48" s="33">
        <f t="shared" si="24"/>
        <v>11.387999999999996</v>
      </c>
      <c r="N48" s="33">
        <f t="shared" si="24"/>
        <v>1.8510000000000026</v>
      </c>
      <c r="O48" s="33">
        <f t="shared" si="24"/>
        <v>-29.272999999999996</v>
      </c>
      <c r="P48" s="33">
        <f t="shared" si="24"/>
        <v>-14.711000000000007</v>
      </c>
      <c r="Q48" s="33">
        <f t="shared" si="24"/>
        <v>-28.537999999999997</v>
      </c>
      <c r="R48" s="33">
        <f t="shared" si="24"/>
        <v>-40.991</v>
      </c>
      <c r="S48" s="33">
        <f t="shared" si="24"/>
        <v>-14.091000000000003</v>
      </c>
      <c r="T48" s="33">
        <f t="shared" si="24"/>
        <v>-5.1259999999999941</v>
      </c>
    </row>
    <row r="50" spans="1:23" s="37" customFormat="1">
      <c r="A50" s="37" t="s">
        <v>78</v>
      </c>
      <c r="B50" s="37">
        <f t="shared" ref="B50:C50" si="25">+SUM(B39:B40)/B47</f>
        <v>3.8482225913621271</v>
      </c>
      <c r="C50" s="37">
        <f t="shared" si="25"/>
        <v>3.8526711185308855</v>
      </c>
      <c r="D50" s="37">
        <f t="shared" ref="D50:E50" si="26">+SUM(D39:D40)/D47</f>
        <v>3.7656778964667206</v>
      </c>
      <c r="E50" s="37">
        <f t="shared" si="26"/>
        <v>3.8114446294754369</v>
      </c>
      <c r="F50" s="37">
        <f t="shared" ref="F50:G50" si="27">+SUM(F39:F40)/F47</f>
        <v>4.22206910907577</v>
      </c>
      <c r="G50" s="37">
        <f t="shared" si="27"/>
        <v>4.3082893617021272</v>
      </c>
      <c r="H50" s="37">
        <f t="shared" ref="H50:I50" si="28">+SUM(H39:H40)/H47</f>
        <v>4.5702055268180688</v>
      </c>
      <c r="I50" s="37">
        <f t="shared" si="28"/>
        <v>4.6249795865042289</v>
      </c>
      <c r="J50" s="37">
        <f t="shared" ref="J50:K50" si="29">+SUM(J39:J40)/J47</f>
        <v>4.5653797388990291</v>
      </c>
      <c r="K50" s="37">
        <f t="shared" si="29"/>
        <v>4.5355140617796224</v>
      </c>
      <c r="L50" s="37">
        <f t="shared" ref="L50:T50" si="30">+SUM(L39:L40)/L47</f>
        <v>3.532502708559047</v>
      </c>
      <c r="M50" s="37">
        <f t="shared" si="30"/>
        <v>3.5642263221754336</v>
      </c>
      <c r="N50" s="37">
        <f t="shared" si="30"/>
        <v>3.8081794634157933</v>
      </c>
      <c r="O50" s="37">
        <f t="shared" si="30"/>
        <v>4.35081839326216</v>
      </c>
      <c r="P50" s="37">
        <f t="shared" si="30"/>
        <v>4.4347201361770301</v>
      </c>
      <c r="Q50" s="37">
        <f t="shared" si="30"/>
        <v>4.4279487290147159</v>
      </c>
      <c r="R50" s="37">
        <f t="shared" si="30"/>
        <v>4.6733564721453771</v>
      </c>
      <c r="S50" s="37">
        <f t="shared" si="30"/>
        <v>4.2164720194647201</v>
      </c>
      <c r="T50" s="37">
        <f t="shared" si="30"/>
        <v>4.8994274712468968</v>
      </c>
    </row>
    <row r="51" spans="1:23" s="37" customFormat="1">
      <c r="A51" s="37" t="s">
        <v>79</v>
      </c>
      <c r="B51" s="37">
        <f t="shared" ref="B51" si="31">+B41/B47</f>
        <v>3.8482225913621271</v>
      </c>
      <c r="C51" s="37">
        <f t="shared" ref="C51:D51" si="32">+C41/C47</f>
        <v>3.8554298831385645</v>
      </c>
      <c r="D51" s="37">
        <f t="shared" si="32"/>
        <v>3.7683935907970407</v>
      </c>
      <c r="E51" s="37">
        <f t="shared" ref="E51:F51" si="33">+E41/E47</f>
        <v>3.8144046627810155</v>
      </c>
      <c r="F51" s="37">
        <f t="shared" si="33"/>
        <v>4.2252289758534554</v>
      </c>
      <c r="G51" s="37">
        <f t="shared" ref="G51:H51" si="34">+G41/G47</f>
        <v>4.3117234042553187</v>
      </c>
      <c r="H51" s="37">
        <f t="shared" si="34"/>
        <v>4.5780891261652519</v>
      </c>
      <c r="I51" s="37">
        <f t="shared" ref="I51:J51" si="35">+I41/I47</f>
        <v>4.6335835833500525</v>
      </c>
      <c r="J51" s="37">
        <f t="shared" si="35"/>
        <v>4.5745568203456273</v>
      </c>
      <c r="K51" s="37">
        <f t="shared" ref="K51:T51" si="36">+K41/K47</f>
        <v>4.5452236053480872</v>
      </c>
      <c r="L51" s="37">
        <f t="shared" si="36"/>
        <v>3.5426763205876917</v>
      </c>
      <c r="M51" s="37">
        <f t="shared" si="36"/>
        <v>3.5757886660481049</v>
      </c>
      <c r="N51" s="37">
        <f t="shared" si="36"/>
        <v>3.8218150709346261</v>
      </c>
      <c r="O51" s="37">
        <f t="shared" si="36"/>
        <v>4.3666469231398946</v>
      </c>
      <c r="P51" s="37">
        <f t="shared" si="36"/>
        <v>4.4718383899068792</v>
      </c>
      <c r="Q51" s="37">
        <f t="shared" si="36"/>
        <v>4.4749201588192129</v>
      </c>
      <c r="R51" s="37">
        <f t="shared" si="36"/>
        <v>4.7228171030283068</v>
      </c>
      <c r="S51" s="37">
        <f t="shared" si="36"/>
        <v>4.7409428223844277</v>
      </c>
      <c r="T51" s="37">
        <f t="shared" si="36"/>
        <v>5.8280676611729971</v>
      </c>
    </row>
    <row r="52" spans="1:23" s="37" customFormat="1">
      <c r="A52" s="37" t="s">
        <v>80</v>
      </c>
      <c r="B52" s="37">
        <f t="shared" ref="B52" si="37">+(B41-B44)/B47</f>
        <v>3.0262956810631239</v>
      </c>
      <c r="C52" s="37">
        <f t="shared" ref="C52:D52" si="38">+(C41-C44)/C47</f>
        <v>3.0499165275459101</v>
      </c>
      <c r="D52" s="37">
        <f t="shared" si="38"/>
        <v>3.181963845521774</v>
      </c>
      <c r="E52" s="37">
        <f t="shared" ref="E52:F52" si="39">+(E41-E44)/E47</f>
        <v>3.3627185678601164</v>
      </c>
      <c r="F52" s="37">
        <f t="shared" si="39"/>
        <v>3.4138093255620312</v>
      </c>
      <c r="G52" s="37">
        <f t="shared" ref="G52:H52" si="40">+(G41-G44)/G47</f>
        <v>3.844144680851064</v>
      </c>
      <c r="H52" s="37">
        <f t="shared" si="40"/>
        <v>4.2962988575696386</v>
      </c>
      <c r="I52" s="37">
        <f t="shared" ref="I52:J52" si="41">+(I41-I44)/I47</f>
        <v>4.3221319621685428</v>
      </c>
      <c r="J52" s="37">
        <f t="shared" si="41"/>
        <v>4.281196736005648</v>
      </c>
      <c r="K52" s="37">
        <f t="shared" ref="K52:T52" si="42">+(K41-K44)/K47</f>
        <v>4.165486399262333</v>
      </c>
      <c r="L52" s="37">
        <f t="shared" si="42"/>
        <v>3.290287063217328</v>
      </c>
      <c r="M52" s="37">
        <f t="shared" si="42"/>
        <v>3.23792020555278</v>
      </c>
      <c r="N52" s="37">
        <f t="shared" si="42"/>
        <v>3.4303557424966136</v>
      </c>
      <c r="O52" s="37">
        <f t="shared" si="42"/>
        <v>4.0813096218392291</v>
      </c>
      <c r="P52" s="37">
        <f t="shared" si="42"/>
        <v>4.201396815860619</v>
      </c>
      <c r="Q52" s="37">
        <f t="shared" si="42"/>
        <v>4.2067401061671914</v>
      </c>
      <c r="R52" s="37">
        <f t="shared" si="42"/>
        <v>4.4603752577553841</v>
      </c>
      <c r="S52" s="37">
        <f t="shared" si="42"/>
        <v>4.4346046228710456</v>
      </c>
      <c r="T52" s="37">
        <f t="shared" si="42"/>
        <v>5.4835370840842801</v>
      </c>
    </row>
    <row r="53" spans="1:23" s="38" customFormat="1">
      <c r="A53" s="38" t="s">
        <v>81</v>
      </c>
      <c r="B53" s="38">
        <f t="shared" ref="B53:C53" si="43">+B48/B41</f>
        <v>8.7654265031532869E-2</v>
      </c>
      <c r="C53" s="38">
        <f t="shared" si="43"/>
        <v>7.5671088084472066E-2</v>
      </c>
      <c r="D53" s="38">
        <f t="shared" ref="D53:E53" si="44">+D48/D41</f>
        <v>6.8118361103630815E-2</v>
      </c>
      <c r="E53" s="38">
        <f t="shared" si="44"/>
        <v>3.8380519962454417E-2</v>
      </c>
      <c r="F53" s="38">
        <f t="shared" ref="F53:G53" si="45">+F48/F41</f>
        <v>3.6509015666568119E-2</v>
      </c>
      <c r="G53" s="38">
        <f t="shared" si="45"/>
        <v>3.5851784595190728E-2</v>
      </c>
      <c r="H53" s="38">
        <f t="shared" ref="H53:M53" si="46">+H48/H41</f>
        <v>8.5537479292860721E-3</v>
      </c>
      <c r="I53" s="38">
        <f t="shared" si="46"/>
        <v>-2.6295358309879006E-2</v>
      </c>
      <c r="J53" s="38">
        <f t="shared" si="46"/>
        <v>-3.8538501445193798E-3</v>
      </c>
      <c r="K53" s="38">
        <f t="shared" si="46"/>
        <v>3.0836052620101053E-4</v>
      </c>
      <c r="L53" s="38">
        <f t="shared" si="46"/>
        <v>-2.7812275840291997E-2</v>
      </c>
      <c r="M53" s="38">
        <f t="shared" si="46"/>
        <v>1.4206480490415486E-2</v>
      </c>
      <c r="N53" s="38">
        <f t="shared" ref="N53:T53" si="47">+N48/N41</f>
        <v>2.3018694761661406E-3</v>
      </c>
      <c r="O53" s="38">
        <f t="shared" si="47"/>
        <v>-3.2281970156298419E-2</v>
      </c>
      <c r="P53" s="38">
        <f t="shared" si="47"/>
        <v>-1.646990332566433E-2</v>
      </c>
      <c r="Q53" s="38">
        <f t="shared" si="47"/>
        <v>-3.4403567420166432E-2</v>
      </c>
      <c r="R53" s="38">
        <f t="shared" si="47"/>
        <v>-4.9303584315612221E-2</v>
      </c>
      <c r="S53" s="38">
        <f t="shared" si="47"/>
        <v>-1.807903660584724E-2</v>
      </c>
      <c r="T53" s="38">
        <f t="shared" si="47"/>
        <v>-6.3661202185792271E-3</v>
      </c>
    </row>
    <row r="54" spans="1:23" s="38" customFormat="1">
      <c r="A54" s="39" t="s">
        <v>82</v>
      </c>
      <c r="B54" s="40"/>
      <c r="C54" s="40"/>
      <c r="D54" s="40"/>
      <c r="E54" s="40"/>
      <c r="F54" s="40"/>
      <c r="G54" s="40"/>
      <c r="H54" s="40"/>
      <c r="I54" s="40"/>
      <c r="J54" s="40"/>
      <c r="K54" s="40"/>
      <c r="L54" s="40"/>
      <c r="M54" s="40"/>
      <c r="N54" s="40"/>
      <c r="O54" s="40"/>
      <c r="P54" s="40">
        <v>7.1</v>
      </c>
      <c r="Q54" s="40">
        <v>7.1</v>
      </c>
      <c r="R54" s="40">
        <v>7.1</v>
      </c>
      <c r="S54" s="40">
        <v>7.1</v>
      </c>
      <c r="T54" s="40">
        <v>7.1</v>
      </c>
      <c r="U54" s="39"/>
      <c r="V54" s="39"/>
      <c r="W54" s="39"/>
    </row>
    <row r="55" spans="1:23" s="38" customFormat="1">
      <c r="A55" s="38" t="s">
        <v>83</v>
      </c>
      <c r="B55" s="41">
        <f t="shared" ref="B55:C55" si="48">IF(B42=0,IF(B54="","","*"&amp;TEXT(B54,"0.0x")),(B41+B42-B44)/B47)</f>
        <v>16.566530866901996</v>
      </c>
      <c r="C55" s="41">
        <f t="shared" si="48"/>
        <v>14.369107949666112</v>
      </c>
      <c r="D55" s="41">
        <f t="shared" ref="D55:E55" si="49">IF(D42=0,IF(D54="","","*"&amp;TEXT(D54,"0.0x")),(D41+D42-D44)/D47)</f>
        <v>12.845857506820046</v>
      </c>
      <c r="E55" s="41">
        <f t="shared" si="49"/>
        <v>10.940280506244795</v>
      </c>
      <c r="F55" s="41">
        <f t="shared" ref="F55:G55" si="50">IF(F42=0,IF(F54="","","*"&amp;TEXT(F54,"0.0x")),(F41+F42-F44)/F47)</f>
        <v>15.12741144238135</v>
      </c>
      <c r="G55" s="41">
        <f t="shared" si="50"/>
        <v>13.108118979106383</v>
      </c>
      <c r="H55" s="41">
        <f t="shared" ref="H55:M55" si="51">IF(H42=0,IF(H54="","","*"&amp;TEXT(H54,"0.0x")),(H41+H42-H44)/H47)</f>
        <v>11.439303741482489</v>
      </c>
      <c r="I55" s="41">
        <f t="shared" si="51"/>
        <v>10.967930484604723</v>
      </c>
      <c r="J55" s="41">
        <f t="shared" si="51"/>
        <v>10.079547738378869</v>
      </c>
      <c r="K55" s="41">
        <f t="shared" si="51"/>
        <v>8.9663878299677293</v>
      </c>
      <c r="L55" s="41">
        <f t="shared" si="51"/>
        <v>13.572950389327838</v>
      </c>
      <c r="M55" s="41">
        <f t="shared" si="51"/>
        <v>14.044245974502177</v>
      </c>
      <c r="N55" s="41">
        <f t="shared" ref="N55:T55" si="52">IF(N42=0,IF(N54="","","*"&amp;TEXT(N54,"0.0x")),(N41+N42-N44)/N47)</f>
        <v>15.084908977685892</v>
      </c>
      <c r="O55" s="41">
        <f t="shared" si="52"/>
        <v>17.013349756047056</v>
      </c>
      <c r="P55" s="41" t="str">
        <f t="shared" si="52"/>
        <v>*7.1x</v>
      </c>
      <c r="Q55" s="41" t="str">
        <f t="shared" si="52"/>
        <v>*7.1x</v>
      </c>
      <c r="R55" s="41" t="str">
        <f t="shared" si="52"/>
        <v>*7.1x</v>
      </c>
      <c r="S55" s="41" t="str">
        <f t="shared" si="52"/>
        <v>*7.1x</v>
      </c>
      <c r="T55" s="41" t="str">
        <f t="shared" si="52"/>
        <v>*7.1x</v>
      </c>
      <c r="U55" s="41" t="str">
        <f>IF(U42=0,IF(U54="","",CONCATENATE("* ",U54,"x")),(U41+U42-U44)/U47)</f>
        <v/>
      </c>
      <c r="V55" s="41" t="str">
        <f>IF(V42=0,IF(V54="","",CONCATENATE("* ",V54,"x")),(V41+V42-V44)/V47)</f>
        <v/>
      </c>
      <c r="W55" s="41" t="str">
        <f>IF(W42=0,IF(W54="","",CONCATENATE("* ",W54,"x")),(W41+W42-W44)/W47)</f>
        <v/>
      </c>
    </row>
    <row r="56" spans="1:23">
      <c r="T56" s="42"/>
    </row>
    <row r="57" spans="1:23" ht="80.25" customHeight="1">
      <c r="A57" s="43" t="s">
        <v>84</v>
      </c>
      <c r="B57" s="44" t="s">
        <v>290</v>
      </c>
      <c r="C57" s="44" t="s">
        <v>301</v>
      </c>
      <c r="D57" s="44" t="s">
        <v>290</v>
      </c>
      <c r="E57" s="44" t="s">
        <v>290</v>
      </c>
      <c r="F57" s="44" t="s">
        <v>290</v>
      </c>
      <c r="G57" s="44" t="s">
        <v>301</v>
      </c>
      <c r="H57" s="44" t="s">
        <v>290</v>
      </c>
      <c r="I57" s="44" t="s">
        <v>290</v>
      </c>
      <c r="J57" s="44" t="s">
        <v>290</v>
      </c>
      <c r="K57" s="44" t="s">
        <v>301</v>
      </c>
      <c r="L57" s="44"/>
      <c r="M57" s="44"/>
      <c r="N57" s="44"/>
      <c r="O57" s="44"/>
      <c r="P57" s="44"/>
      <c r="Q57" s="44"/>
      <c r="R57" s="44"/>
      <c r="S57" s="44"/>
      <c r="T57" s="44"/>
      <c r="U57" s="44"/>
      <c r="V57" s="44"/>
      <c r="W57" s="44"/>
    </row>
    <row r="58" spans="1:23">
      <c r="A58" s="45"/>
      <c r="B58" s="42"/>
      <c r="C58" s="42"/>
      <c r="D58" s="42"/>
      <c r="E58" s="42"/>
      <c r="F58" s="42"/>
      <c r="G58" s="42"/>
      <c r="H58" s="42"/>
      <c r="I58" s="42"/>
      <c r="J58" s="42"/>
      <c r="K58" s="42"/>
      <c r="L58" s="42"/>
      <c r="M58" s="42"/>
      <c r="N58" s="42"/>
      <c r="O58" s="42"/>
      <c r="P58" s="42"/>
    </row>
    <row r="59" spans="1:23">
      <c r="A59" s="45"/>
    </row>
  </sheetData>
  <pageMargins left="0.7" right="0.7" top="0.75" bottom="0.75" header="0.3" footer="0.3"/>
  <pageSetup orientation="portrait" r:id="rId1"/>
  <ignoredErrors>
    <ignoredError sqref="N24:O25" formulaRange="1"/>
  </ignoredErrors>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K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1" width="10.6640625" style="14" customWidth="1"/>
    <col min="12" max="16384" width="9.109375" style="14"/>
  </cols>
  <sheetData>
    <row r="2" spans="1:11">
      <c r="A2" s="13" t="s">
        <v>44</v>
      </c>
      <c r="B2" s="14" t="s">
        <v>616</v>
      </c>
    </row>
    <row r="3" spans="1:11" s="16" customFormat="1">
      <c r="A3" s="15" t="s">
        <v>45</v>
      </c>
      <c r="B3" s="16" t="s">
        <v>617</v>
      </c>
    </row>
    <row r="4" spans="1:11">
      <c r="A4" s="13" t="s">
        <v>2</v>
      </c>
      <c r="B4" s="14" t="s">
        <v>493</v>
      </c>
    </row>
    <row r="5" spans="1:11">
      <c r="A5" s="13" t="s">
        <v>46</v>
      </c>
    </row>
    <row r="6" spans="1:11">
      <c r="A6" s="13" t="s">
        <v>47</v>
      </c>
      <c r="B6" s="14">
        <v>3</v>
      </c>
    </row>
    <row r="7" spans="1:11">
      <c r="A7" s="13" t="s">
        <v>48</v>
      </c>
      <c r="B7" s="14" t="s">
        <v>141</v>
      </c>
    </row>
    <row r="8" spans="1:11">
      <c r="A8" s="13" t="s">
        <v>347</v>
      </c>
      <c r="B8" s="14" t="s">
        <v>618</v>
      </c>
    </row>
    <row r="9" spans="1:11">
      <c r="A9" s="17"/>
    </row>
    <row r="10" spans="1:11">
      <c r="A10" s="17" t="s">
        <v>49</v>
      </c>
      <c r="B10" s="18">
        <v>44286</v>
      </c>
      <c r="C10" s="18">
        <v>44196</v>
      </c>
      <c r="D10" s="18">
        <v>44104</v>
      </c>
      <c r="E10" s="18">
        <f>EOMONTH(D10,-3)</f>
        <v>44012</v>
      </c>
      <c r="F10" s="18">
        <f t="shared" ref="F10:K10" si="0">EOMONTH(E10,-3)</f>
        <v>43921</v>
      </c>
      <c r="G10" s="18">
        <f t="shared" si="0"/>
        <v>43830</v>
      </c>
      <c r="H10" s="18">
        <f t="shared" si="0"/>
        <v>43738</v>
      </c>
      <c r="I10" s="18">
        <f t="shared" si="0"/>
        <v>43646</v>
      </c>
      <c r="J10" s="18">
        <f t="shared" si="0"/>
        <v>43555</v>
      </c>
      <c r="K10" s="18">
        <f t="shared" si="0"/>
        <v>43465</v>
      </c>
    </row>
    <row r="12" spans="1:11">
      <c r="A12" s="19" t="s">
        <v>50</v>
      </c>
      <c r="B12" s="20">
        <v>73.456000000000003</v>
      </c>
      <c r="C12" s="20"/>
      <c r="D12" s="20"/>
      <c r="E12" s="20"/>
      <c r="F12" s="20">
        <v>89.078999999999994</v>
      </c>
      <c r="G12" s="20"/>
      <c r="H12" s="20"/>
      <c r="I12" s="20"/>
      <c r="J12" s="20"/>
      <c r="K12" s="20"/>
    </row>
    <row r="13" spans="1:11" s="21" customFormat="1">
      <c r="A13" s="21" t="s">
        <v>51</v>
      </c>
      <c r="B13" s="21">
        <f>+B12/F12-1</f>
        <v>-0.1753836482223643</v>
      </c>
    </row>
    <row r="14" spans="1:11" s="24" customFormat="1">
      <c r="A14" s="22" t="s">
        <v>52</v>
      </c>
      <c r="B14" s="23" t="s">
        <v>3</v>
      </c>
      <c r="C14" s="23"/>
      <c r="D14" s="23"/>
      <c r="E14" s="23"/>
      <c r="F14" s="23"/>
      <c r="G14" s="23"/>
      <c r="H14" s="22"/>
      <c r="I14" s="22"/>
      <c r="J14" s="22"/>
      <c r="K14" s="22"/>
    </row>
    <row r="16" spans="1:11" s="17" customFormat="1">
      <c r="A16" s="25" t="s">
        <v>53</v>
      </c>
      <c r="B16" s="26">
        <v>48.78</v>
      </c>
      <c r="C16" s="26"/>
      <c r="D16" s="26"/>
      <c r="E16" s="26"/>
      <c r="F16" s="26">
        <v>54.524999999999999</v>
      </c>
      <c r="G16" s="26"/>
      <c r="H16" s="26"/>
      <c r="I16" s="26"/>
      <c r="J16" s="26"/>
      <c r="K16" s="26"/>
    </row>
    <row r="17" spans="1:11" s="21" customFormat="1">
      <c r="A17" s="21" t="s">
        <v>54</v>
      </c>
      <c r="B17" s="21">
        <f>+B16/B12</f>
        <v>0.66407100849488132</v>
      </c>
      <c r="F17" s="21">
        <f t="shared" ref="F17" si="1">+F16/F12</f>
        <v>0.6120971272690533</v>
      </c>
    </row>
    <row r="18" spans="1:11" s="24" customFormat="1"/>
    <row r="19" spans="1:11" s="24" customFormat="1">
      <c r="A19" s="19" t="s">
        <v>55</v>
      </c>
      <c r="B19" s="20">
        <v>0</v>
      </c>
      <c r="C19" s="20"/>
      <c r="D19" s="20"/>
      <c r="E19" s="20"/>
      <c r="F19" s="20">
        <v>0</v>
      </c>
      <c r="G19" s="20"/>
      <c r="H19" s="20"/>
      <c r="I19" s="20"/>
      <c r="J19" s="20"/>
      <c r="K19" s="20"/>
    </row>
    <row r="20" spans="1:11" s="24" customFormat="1">
      <c r="A20" s="19" t="s">
        <v>56</v>
      </c>
      <c r="B20" s="20">
        <v>0</v>
      </c>
      <c r="C20" s="20"/>
      <c r="D20" s="20"/>
      <c r="E20" s="20"/>
      <c r="F20" s="20">
        <v>0</v>
      </c>
      <c r="G20" s="20"/>
      <c r="H20" s="20"/>
      <c r="I20" s="20"/>
      <c r="J20" s="20"/>
      <c r="K20" s="20"/>
    </row>
    <row r="21" spans="1:11" s="24" customFormat="1">
      <c r="A21" s="19" t="s">
        <v>57</v>
      </c>
      <c r="B21" s="20">
        <v>0</v>
      </c>
      <c r="C21" s="20"/>
      <c r="D21" s="20"/>
      <c r="E21" s="20"/>
      <c r="F21" s="20">
        <v>0</v>
      </c>
      <c r="G21" s="20"/>
      <c r="H21" s="20"/>
      <c r="I21" s="20"/>
      <c r="J21" s="20"/>
      <c r="K21" s="20"/>
    </row>
    <row r="22" spans="1:11" s="17" customFormat="1">
      <c r="A22" s="17" t="s">
        <v>58</v>
      </c>
      <c r="B22" s="27">
        <f>SUM(B16,B19:B21)</f>
        <v>48.78</v>
      </c>
      <c r="C22" s="27"/>
      <c r="D22" s="27"/>
      <c r="E22" s="27"/>
      <c r="F22" s="27">
        <f t="shared" ref="F22" si="2">SUM(F16,F19:F21)</f>
        <v>54.524999999999999</v>
      </c>
      <c r="G22" s="27"/>
      <c r="H22" s="27"/>
      <c r="I22" s="27"/>
      <c r="J22" s="27"/>
      <c r="K22" s="27"/>
    </row>
    <row r="23" spans="1:11" s="17" customFormat="1">
      <c r="B23" s="27"/>
      <c r="C23" s="27"/>
      <c r="D23" s="27"/>
      <c r="E23" s="27"/>
      <c r="F23" s="27"/>
      <c r="G23" s="27"/>
      <c r="H23" s="27"/>
      <c r="I23" s="27"/>
      <c r="J23" s="27"/>
      <c r="K23" s="27"/>
    </row>
    <row r="24" spans="1:11" s="17" customFormat="1">
      <c r="A24" s="17" t="s">
        <v>59</v>
      </c>
      <c r="B24" s="27"/>
      <c r="C24" s="27"/>
      <c r="D24" s="27"/>
      <c r="E24" s="27"/>
      <c r="F24" s="27"/>
      <c r="G24" s="27"/>
      <c r="H24" s="27"/>
      <c r="I24" s="27"/>
      <c r="J24" s="27"/>
      <c r="K24" s="27"/>
    </row>
    <row r="25" spans="1:11" s="24" customFormat="1">
      <c r="A25" s="19" t="s">
        <v>60</v>
      </c>
      <c r="B25" s="28"/>
      <c r="C25" s="28"/>
      <c r="D25" s="28"/>
      <c r="E25" s="28"/>
      <c r="F25" s="28"/>
      <c r="G25" s="28"/>
      <c r="H25" s="28"/>
      <c r="I25" s="28"/>
      <c r="J25" s="28"/>
      <c r="K25" s="28"/>
    </row>
    <row r="26" spans="1:11" s="24" customFormat="1">
      <c r="A26" s="19" t="s">
        <v>61</v>
      </c>
      <c r="B26" s="29"/>
      <c r="C26" s="29"/>
      <c r="D26" s="29"/>
      <c r="E26" s="29"/>
      <c r="F26" s="29"/>
      <c r="G26" s="29"/>
      <c r="H26" s="29"/>
      <c r="I26" s="30"/>
      <c r="J26" s="30"/>
      <c r="K26" s="30"/>
    </row>
    <row r="27" spans="1:11" s="32" customFormat="1">
      <c r="A27" s="17" t="s">
        <v>62</v>
      </c>
      <c r="B27" s="27"/>
      <c r="C27" s="27"/>
      <c r="D27" s="27"/>
      <c r="E27" s="27"/>
      <c r="F27" s="27"/>
      <c r="G27" s="27"/>
      <c r="H27" s="27"/>
      <c r="I27" s="31"/>
      <c r="J27" s="31"/>
      <c r="K27" s="31"/>
    </row>
    <row r="28" spans="1:11" s="24" customFormat="1"/>
    <row r="29" spans="1:11" s="17" customFormat="1">
      <c r="A29" s="17" t="s">
        <v>58</v>
      </c>
      <c r="B29" s="27">
        <f t="shared" ref="B29" si="3">B22</f>
        <v>48.78</v>
      </c>
      <c r="C29" s="27"/>
      <c r="D29" s="27"/>
      <c r="E29" s="27"/>
      <c r="F29" s="27">
        <f t="shared" ref="F29" si="4">F22</f>
        <v>54.524999999999999</v>
      </c>
      <c r="G29" s="27"/>
      <c r="H29" s="27"/>
      <c r="I29" s="27"/>
      <c r="J29" s="27"/>
      <c r="K29" s="27"/>
    </row>
    <row r="30" spans="1:11" s="33" customFormat="1">
      <c r="A30" s="20" t="s">
        <v>63</v>
      </c>
      <c r="B30" s="20">
        <v>-23.494</v>
      </c>
      <c r="C30" s="20"/>
      <c r="D30" s="20"/>
      <c r="E30" s="20"/>
      <c r="F30" s="20">
        <v>-29.492999999999999</v>
      </c>
      <c r="G30" s="20"/>
      <c r="H30" s="20"/>
      <c r="I30" s="20"/>
      <c r="J30" s="20"/>
      <c r="K30" s="20"/>
    </row>
    <row r="31" spans="1:11" s="33" customFormat="1">
      <c r="A31" s="20" t="s">
        <v>64</v>
      </c>
      <c r="B31" s="20">
        <v>0</v>
      </c>
      <c r="C31" s="20"/>
      <c r="D31" s="20"/>
      <c r="E31" s="20"/>
      <c r="F31" s="20">
        <v>0</v>
      </c>
      <c r="G31" s="20"/>
      <c r="H31" s="20"/>
      <c r="I31" s="20"/>
      <c r="J31" s="20"/>
      <c r="K31" s="20"/>
    </row>
    <row r="32" spans="1:11" s="33" customFormat="1">
      <c r="A32" s="20" t="s">
        <v>65</v>
      </c>
      <c r="B32" s="20">
        <v>-18.869</v>
      </c>
      <c r="C32" s="20"/>
      <c r="D32" s="20"/>
      <c r="E32" s="20"/>
      <c r="F32" s="20">
        <v>-11.085000000000001</v>
      </c>
      <c r="G32" s="20"/>
      <c r="H32" s="20"/>
      <c r="I32" s="20"/>
      <c r="J32" s="20"/>
      <c r="K32" s="20"/>
    </row>
    <row r="33" spans="1:11" s="33" customFormat="1">
      <c r="A33" s="20" t="s">
        <v>66</v>
      </c>
      <c r="B33" s="20">
        <v>0</v>
      </c>
      <c r="C33" s="20"/>
      <c r="D33" s="20"/>
      <c r="E33" s="20"/>
      <c r="F33" s="20">
        <v>0</v>
      </c>
      <c r="G33" s="20"/>
      <c r="H33" s="20"/>
      <c r="I33" s="20"/>
      <c r="J33" s="20"/>
      <c r="K33" s="20"/>
    </row>
    <row r="34" spans="1:11" s="33" customFormat="1">
      <c r="A34" s="20" t="s">
        <v>57</v>
      </c>
      <c r="B34" s="29">
        <v>0</v>
      </c>
      <c r="C34" s="29"/>
      <c r="D34" s="29"/>
      <c r="E34" s="29"/>
      <c r="F34" s="29">
        <v>0</v>
      </c>
      <c r="G34" s="29"/>
      <c r="H34" s="29"/>
      <c r="I34" s="29"/>
      <c r="J34" s="29"/>
      <c r="K34" s="29"/>
    </row>
    <row r="35" spans="1:11" s="27" customFormat="1">
      <c r="A35" s="27" t="s">
        <v>67</v>
      </c>
      <c r="B35" s="27">
        <v>19.998999999999999</v>
      </c>
      <c r="F35" s="27">
        <v>27.777999999999999</v>
      </c>
    </row>
    <row r="36" spans="1:11" s="33" customFormat="1">
      <c r="A36" s="20" t="s">
        <v>68</v>
      </c>
      <c r="B36" s="29">
        <v>-0.219</v>
      </c>
      <c r="C36" s="29"/>
      <c r="D36" s="29"/>
      <c r="E36" s="29"/>
      <c r="F36" s="29">
        <v>-1.883</v>
      </c>
      <c r="G36" s="29"/>
      <c r="H36" s="29"/>
      <c r="I36" s="29"/>
      <c r="J36" s="29"/>
      <c r="K36" s="29"/>
    </row>
    <row r="37" spans="1:11" s="27" customFormat="1">
      <c r="A37" s="27" t="s">
        <v>69</v>
      </c>
      <c r="B37" s="27">
        <f>+B35+B36</f>
        <v>19.779999999999998</v>
      </c>
      <c r="F37" s="27">
        <f t="shared" ref="F37" si="5">+F35+F36</f>
        <v>25.895</v>
      </c>
    </row>
    <row r="39" spans="1:11" s="35" customFormat="1">
      <c r="A39" s="34" t="s">
        <v>70</v>
      </c>
      <c r="B39" s="20"/>
      <c r="C39" s="20"/>
      <c r="D39" s="20">
        <v>0</v>
      </c>
      <c r="E39" s="20"/>
      <c r="F39" s="20"/>
      <c r="G39" s="20"/>
      <c r="H39" s="20"/>
      <c r="I39" s="20"/>
      <c r="J39" s="20"/>
      <c r="K39" s="20"/>
    </row>
    <row r="40" spans="1:11" s="35" customFormat="1">
      <c r="A40" s="34" t="s">
        <v>71</v>
      </c>
      <c r="B40" s="20"/>
      <c r="C40" s="20"/>
      <c r="D40" s="20">
        <v>722.5</v>
      </c>
      <c r="E40" s="20"/>
      <c r="F40" s="20"/>
      <c r="G40" s="20"/>
      <c r="H40" s="20"/>
      <c r="I40" s="20"/>
      <c r="J40" s="20"/>
      <c r="K40" s="20"/>
    </row>
    <row r="41" spans="1:11" s="35" customFormat="1">
      <c r="A41" s="34" t="s">
        <v>72</v>
      </c>
      <c r="B41" s="20"/>
      <c r="C41" s="20"/>
      <c r="D41" s="20">
        <f>D39+D40+750</f>
        <v>1472.5</v>
      </c>
      <c r="E41" s="20"/>
      <c r="F41" s="20"/>
      <c r="G41" s="20"/>
      <c r="H41" s="20"/>
      <c r="I41" s="20"/>
      <c r="J41" s="20"/>
      <c r="K41" s="20"/>
    </row>
    <row r="42" spans="1:11" s="35" customFormat="1">
      <c r="A42" s="34" t="s">
        <v>73</v>
      </c>
      <c r="B42" s="36"/>
      <c r="C42" s="36"/>
      <c r="D42" s="36">
        <v>1318.3</v>
      </c>
      <c r="E42" s="36"/>
      <c r="F42" s="36"/>
      <c r="G42" s="36"/>
      <c r="H42" s="36"/>
      <c r="I42" s="36"/>
      <c r="J42" s="36"/>
      <c r="K42" s="36"/>
    </row>
    <row r="43" spans="1:11">
      <c r="B43" s="35"/>
      <c r="C43" s="35"/>
      <c r="D43" s="35"/>
      <c r="E43" s="35"/>
      <c r="F43" s="35"/>
    </row>
    <row r="44" spans="1:11">
      <c r="A44" s="19" t="s">
        <v>74</v>
      </c>
      <c r="B44" s="28">
        <v>68.462000000000003</v>
      </c>
      <c r="C44" s="28"/>
      <c r="D44" s="28">
        <v>0</v>
      </c>
      <c r="E44" s="28"/>
      <c r="F44" s="28"/>
      <c r="G44" s="28"/>
      <c r="H44" s="28"/>
      <c r="I44" s="57"/>
      <c r="J44" s="57"/>
      <c r="K44" s="57"/>
    </row>
    <row r="46" spans="1:11">
      <c r="A46" s="14" t="s">
        <v>75</v>
      </c>
      <c r="B46" s="51"/>
      <c r="C46" s="51"/>
      <c r="D46" s="51">
        <v>319.3</v>
      </c>
      <c r="E46" s="33"/>
      <c r="F46" s="33"/>
      <c r="G46" s="33"/>
      <c r="H46" s="33"/>
    </row>
    <row r="47" spans="1:11">
      <c r="A47" s="14" t="s">
        <v>76</v>
      </c>
      <c r="B47" s="51"/>
      <c r="C47" s="51"/>
      <c r="D47" s="51">
        <v>153.6</v>
      </c>
      <c r="E47" s="33"/>
      <c r="F47" s="33"/>
      <c r="G47" s="33"/>
      <c r="H47" s="33"/>
    </row>
    <row r="48" spans="1:11">
      <c r="A48" s="14" t="s">
        <v>77</v>
      </c>
      <c r="B48" s="33"/>
      <c r="C48" s="33"/>
      <c r="D48" s="33"/>
      <c r="E48" s="33"/>
      <c r="F48" s="33"/>
      <c r="G48" s="33"/>
      <c r="H48" s="33"/>
    </row>
    <row r="50" spans="1:11" s="37" customFormat="1">
      <c r="A50" s="37" t="s">
        <v>78</v>
      </c>
      <c r="D50" s="37">
        <f>+SUM(D39:D40)/D47</f>
        <v>4.703776041666667</v>
      </c>
    </row>
    <row r="51" spans="1:11" s="37" customFormat="1">
      <c r="A51" s="37" t="s">
        <v>79</v>
      </c>
      <c r="D51" s="37">
        <f>+D41/D47</f>
        <v>9.5865885416666679</v>
      </c>
    </row>
    <row r="52" spans="1:11" s="37" customFormat="1">
      <c r="A52" s="37" t="s">
        <v>80</v>
      </c>
      <c r="D52" s="37">
        <f>+(D41-D44)/D47</f>
        <v>9.5865885416666679</v>
      </c>
    </row>
    <row r="53" spans="1:11" s="38" customFormat="1">
      <c r="A53" s="38" t="s">
        <v>81</v>
      </c>
      <c r="D53" s="38">
        <f>+D48/D41</f>
        <v>0</v>
      </c>
    </row>
    <row r="54" spans="1:11" s="38" customFormat="1">
      <c r="A54" s="39" t="s">
        <v>82</v>
      </c>
      <c r="B54" s="40"/>
      <c r="C54" s="40"/>
      <c r="D54" s="40"/>
      <c r="E54" s="40"/>
      <c r="F54" s="40"/>
      <c r="G54" s="40"/>
      <c r="H54" s="40"/>
      <c r="I54" s="39"/>
      <c r="J54" s="39"/>
      <c r="K54" s="39"/>
    </row>
    <row r="55" spans="1:11" s="38" customFormat="1">
      <c r="A55" s="38" t="s">
        <v>83</v>
      </c>
      <c r="B55" s="41"/>
      <c r="C55" s="41"/>
      <c r="D55" s="41">
        <f>IF(D42=0,IF(D54="","","*"&amp;TEXT(D54,"0.0x")),(D41+D42-D44)/D47)</f>
        <v>18.169270833333336</v>
      </c>
      <c r="E55" s="41"/>
      <c r="F55" s="41"/>
      <c r="G55" s="41"/>
      <c r="H55" s="41"/>
      <c r="I55" s="41"/>
      <c r="J55" s="41"/>
      <c r="K55" s="41" t="str">
        <f>IF(K42=0,IF(K54="","",CONCATENATE("* ",K54,"x")),(K41+K42-K44)/K47)</f>
        <v/>
      </c>
    </row>
    <row r="56" spans="1:11">
      <c r="H56" s="42"/>
    </row>
    <row r="57" spans="1:11" ht="80.25" customHeight="1">
      <c r="A57" s="43" t="s">
        <v>84</v>
      </c>
      <c r="B57" s="44" t="s">
        <v>90</v>
      </c>
      <c r="C57" s="44" t="s">
        <v>90</v>
      </c>
      <c r="D57" s="44" t="s">
        <v>90</v>
      </c>
      <c r="E57" s="44"/>
      <c r="F57" s="44"/>
      <c r="G57" s="44"/>
      <c r="H57" s="44"/>
      <c r="I57" s="44"/>
      <c r="J57" s="44"/>
      <c r="K57" s="44"/>
    </row>
    <row r="58" spans="1:11">
      <c r="A58" s="45"/>
      <c r="B58" s="42"/>
      <c r="C58" s="42"/>
      <c r="D58" s="42"/>
    </row>
    <row r="59" spans="1:11">
      <c r="A59" s="45"/>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N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ColWidth="9.109375" defaultRowHeight="13.8"/>
  <cols>
    <col min="1" max="1" width="22.6640625" style="14" customWidth="1"/>
    <col min="2" max="11" width="10.6640625" style="14" customWidth="1"/>
    <col min="12" max="16384" width="9.109375" style="14"/>
  </cols>
  <sheetData>
    <row r="2" spans="1:11">
      <c r="A2" s="13" t="s">
        <v>44</v>
      </c>
      <c r="B2" s="14" t="s">
        <v>153</v>
      </c>
    </row>
    <row r="3" spans="1:11" s="16" customFormat="1">
      <c r="A3" s="15" t="s">
        <v>45</v>
      </c>
      <c r="B3" s="16" t="s">
        <v>116</v>
      </c>
    </row>
    <row r="4" spans="1:11">
      <c r="A4" s="13" t="s">
        <v>2</v>
      </c>
      <c r="B4" s="14" t="s">
        <v>4</v>
      </c>
    </row>
    <row r="5" spans="1:11">
      <c r="A5" s="13" t="s">
        <v>46</v>
      </c>
    </row>
    <row r="6" spans="1:11">
      <c r="A6" s="13" t="s">
        <v>47</v>
      </c>
      <c r="B6" s="14">
        <v>3</v>
      </c>
    </row>
    <row r="7" spans="1:11">
      <c r="A7" s="13" t="s">
        <v>48</v>
      </c>
      <c r="B7" s="14" t="e">
        <v>#N/A</v>
      </c>
    </row>
    <row r="8" spans="1:11">
      <c r="A8" s="13" t="s">
        <v>347</v>
      </c>
      <c r="B8" s="14" t="e">
        <v>#N/A</v>
      </c>
    </row>
    <row r="9" spans="1:11">
      <c r="A9" s="17"/>
    </row>
    <row r="10" spans="1:11">
      <c r="A10" s="17" t="s">
        <v>49</v>
      </c>
      <c r="B10" s="18">
        <v>43100</v>
      </c>
      <c r="C10" s="18">
        <v>43008</v>
      </c>
      <c r="D10" s="18">
        <v>42916</v>
      </c>
      <c r="E10" s="18">
        <v>42825</v>
      </c>
      <c r="F10" s="18">
        <v>42735</v>
      </c>
      <c r="G10" s="18">
        <v>42643</v>
      </c>
      <c r="H10" s="18">
        <v>42551</v>
      </c>
      <c r="I10" s="18">
        <v>42460</v>
      </c>
      <c r="J10" s="18">
        <v>42369</v>
      </c>
      <c r="K10" s="18">
        <v>42277</v>
      </c>
    </row>
    <row r="12" spans="1:11">
      <c r="A12" s="19" t="s">
        <v>50</v>
      </c>
      <c r="B12" s="20">
        <v>1989</v>
      </c>
      <c r="C12" s="20">
        <v>1931</v>
      </c>
      <c r="D12" s="20">
        <v>1983</v>
      </c>
      <c r="E12" s="20">
        <v>2038</v>
      </c>
      <c r="F12" s="20">
        <v>1843</v>
      </c>
      <c r="G12" s="20">
        <v>1825</v>
      </c>
      <c r="H12" s="20">
        <v>1924</v>
      </c>
      <c r="I12" s="20">
        <v>1897</v>
      </c>
      <c r="J12" s="20">
        <v>1858</v>
      </c>
      <c r="K12" s="20">
        <v>1896</v>
      </c>
    </row>
    <row r="13" spans="1:11" s="21" customFormat="1">
      <c r="A13" s="21" t="s">
        <v>51</v>
      </c>
      <c r="B13" s="21">
        <f t="shared" ref="B13:G13" si="0">+B12/F12-1</f>
        <v>7.9218665219750406E-2</v>
      </c>
      <c r="C13" s="21">
        <f t="shared" si="0"/>
        <v>5.8082191780821857E-2</v>
      </c>
      <c r="D13" s="21">
        <f t="shared" si="0"/>
        <v>3.0665280665280736E-2</v>
      </c>
      <c r="E13" s="21">
        <f t="shared" si="0"/>
        <v>7.4327886136004162E-2</v>
      </c>
      <c r="F13" s="21">
        <f t="shared" si="0"/>
        <v>-8.0731969860065034E-3</v>
      </c>
      <c r="G13" s="21">
        <f t="shared" si="0"/>
        <v>-3.7447257383966259E-2</v>
      </c>
    </row>
    <row r="14" spans="1:11" s="24" customFormat="1">
      <c r="A14" s="22" t="s">
        <v>52</v>
      </c>
      <c r="B14" s="23" t="s">
        <v>3</v>
      </c>
      <c r="C14" s="23" t="s">
        <v>3</v>
      </c>
      <c r="D14" s="23" t="s">
        <v>3</v>
      </c>
      <c r="E14" s="23" t="s">
        <v>3</v>
      </c>
      <c r="F14" s="23" t="s">
        <v>3</v>
      </c>
      <c r="G14" s="23" t="s">
        <v>3</v>
      </c>
      <c r="H14" s="22"/>
      <c r="I14" s="22"/>
      <c r="J14" s="22"/>
      <c r="K14" s="22"/>
    </row>
    <row r="16" spans="1:11" s="17" customFormat="1">
      <c r="A16" s="25" t="s">
        <v>53</v>
      </c>
      <c r="B16" s="26">
        <v>219</v>
      </c>
      <c r="C16" s="26">
        <v>173</v>
      </c>
      <c r="D16" s="26">
        <v>191</v>
      </c>
      <c r="E16" s="26">
        <v>217</v>
      </c>
      <c r="F16" s="26">
        <v>182</v>
      </c>
      <c r="G16" s="26">
        <v>173</v>
      </c>
      <c r="H16" s="26">
        <v>196</v>
      </c>
      <c r="I16" s="26">
        <v>193</v>
      </c>
      <c r="J16" s="26">
        <v>164</v>
      </c>
      <c r="K16" s="26">
        <v>153</v>
      </c>
    </row>
    <row r="17" spans="1:14" s="21" customFormat="1">
      <c r="A17" s="21" t="s">
        <v>54</v>
      </c>
      <c r="B17" s="21">
        <f>+B16/B12</f>
        <v>0.11010558069381599</v>
      </c>
      <c r="C17" s="21">
        <f>+C16/C12</f>
        <v>8.9590885551527707E-2</v>
      </c>
      <c r="D17" s="21">
        <f>+D16/D12</f>
        <v>9.6318709026727178E-2</v>
      </c>
      <c r="E17" s="21">
        <f t="shared" ref="E17:K17" si="1">+E16/E12</f>
        <v>0.10647693817468105</v>
      </c>
      <c r="F17" s="21">
        <f t="shared" si="1"/>
        <v>9.8752034725990229E-2</v>
      </c>
      <c r="G17" s="21">
        <f t="shared" si="1"/>
        <v>9.479452054794521E-2</v>
      </c>
      <c r="H17" s="21">
        <f t="shared" si="1"/>
        <v>0.10187110187110188</v>
      </c>
      <c r="I17" s="21">
        <f t="shared" si="1"/>
        <v>0.10173958882445967</v>
      </c>
      <c r="J17" s="21">
        <f t="shared" si="1"/>
        <v>8.8266953713670618E-2</v>
      </c>
      <c r="K17" s="21">
        <f t="shared" si="1"/>
        <v>8.0696202531645569E-2</v>
      </c>
    </row>
    <row r="18" spans="1:14" s="24" customFormat="1"/>
    <row r="19" spans="1:14" s="24" customFormat="1">
      <c r="A19" s="19" t="s">
        <v>55</v>
      </c>
      <c r="B19" s="20">
        <v>0</v>
      </c>
      <c r="C19" s="20">
        <v>0</v>
      </c>
      <c r="D19" s="20">
        <v>0</v>
      </c>
      <c r="E19" s="20">
        <v>0</v>
      </c>
      <c r="F19" s="20">
        <v>0</v>
      </c>
      <c r="G19" s="20">
        <v>0</v>
      </c>
      <c r="H19" s="20">
        <v>0</v>
      </c>
      <c r="I19" s="20">
        <v>0</v>
      </c>
      <c r="J19" s="20">
        <v>0</v>
      </c>
      <c r="K19" s="20">
        <v>0</v>
      </c>
    </row>
    <row r="20" spans="1:14" s="24" customFormat="1">
      <c r="A20" s="19" t="s">
        <v>56</v>
      </c>
      <c r="B20" s="20">
        <v>0</v>
      </c>
      <c r="C20" s="20">
        <v>0</v>
      </c>
      <c r="D20" s="20">
        <v>0</v>
      </c>
      <c r="E20" s="20">
        <v>0</v>
      </c>
      <c r="F20" s="20">
        <v>0</v>
      </c>
      <c r="G20" s="20">
        <v>0</v>
      </c>
      <c r="H20" s="20">
        <v>0</v>
      </c>
      <c r="I20" s="20">
        <v>0</v>
      </c>
      <c r="J20" s="20">
        <v>0</v>
      </c>
      <c r="K20" s="20">
        <v>0</v>
      </c>
    </row>
    <row r="21" spans="1:14" s="24" customFormat="1">
      <c r="A21" s="19" t="s">
        <v>57</v>
      </c>
      <c r="B21" s="20">
        <v>0</v>
      </c>
      <c r="C21" s="20">
        <v>0</v>
      </c>
      <c r="D21" s="20">
        <v>0</v>
      </c>
      <c r="E21" s="20">
        <v>0</v>
      </c>
      <c r="F21" s="20">
        <v>0</v>
      </c>
      <c r="G21" s="20">
        <v>0</v>
      </c>
      <c r="H21" s="20">
        <v>0</v>
      </c>
      <c r="I21" s="20">
        <v>0</v>
      </c>
      <c r="J21" s="20">
        <v>0</v>
      </c>
      <c r="K21" s="20">
        <v>0</v>
      </c>
    </row>
    <row r="22" spans="1:14" s="17" customFormat="1">
      <c r="A22" s="17" t="s">
        <v>58</v>
      </c>
      <c r="B22" s="27">
        <f>SUM(B16,B19:B21)</f>
        <v>219</v>
      </c>
      <c r="C22" s="27">
        <f>SUM(C16,C19:C21)</f>
        <v>173</v>
      </c>
      <c r="D22" s="27">
        <f>SUM(D16,D19:D21)</f>
        <v>191</v>
      </c>
      <c r="E22" s="27">
        <f t="shared" ref="E22:K22" si="2">SUM(E16,E19:E21)</f>
        <v>217</v>
      </c>
      <c r="F22" s="27">
        <f t="shared" si="2"/>
        <v>182</v>
      </c>
      <c r="G22" s="27">
        <f t="shared" si="2"/>
        <v>173</v>
      </c>
      <c r="H22" s="27">
        <f t="shared" si="2"/>
        <v>196</v>
      </c>
      <c r="I22" s="27">
        <f t="shared" si="2"/>
        <v>193</v>
      </c>
      <c r="J22" s="27">
        <f t="shared" si="2"/>
        <v>164</v>
      </c>
      <c r="K22" s="27">
        <f t="shared" si="2"/>
        <v>153</v>
      </c>
    </row>
    <row r="23" spans="1:14" s="17" customFormat="1">
      <c r="B23" s="27"/>
      <c r="C23" s="27"/>
      <c r="D23" s="27"/>
      <c r="E23" s="27"/>
      <c r="F23" s="27"/>
      <c r="G23" s="27"/>
      <c r="H23" s="27"/>
      <c r="I23" s="27"/>
      <c r="J23" s="27"/>
      <c r="K23" s="27"/>
    </row>
    <row r="24" spans="1:14" s="17" customFormat="1">
      <c r="A24" s="17" t="s">
        <v>59</v>
      </c>
      <c r="B24" s="27">
        <f t="shared" ref="B24:H24" si="3">SUM(B22:E22)</f>
        <v>800</v>
      </c>
      <c r="C24" s="27">
        <f t="shared" si="3"/>
        <v>763</v>
      </c>
      <c r="D24" s="27">
        <f t="shared" si="3"/>
        <v>763</v>
      </c>
      <c r="E24" s="27">
        <f t="shared" si="3"/>
        <v>768</v>
      </c>
      <c r="F24" s="27">
        <f t="shared" si="3"/>
        <v>744</v>
      </c>
      <c r="G24" s="27">
        <f t="shared" si="3"/>
        <v>726</v>
      </c>
      <c r="H24" s="27">
        <f t="shared" si="3"/>
        <v>706</v>
      </c>
      <c r="I24" s="27"/>
      <c r="J24" s="27"/>
      <c r="K24" s="27"/>
      <c r="N24" s="24"/>
    </row>
    <row r="25" spans="1:14" s="24" customFormat="1">
      <c r="A25" s="19" t="s">
        <v>60</v>
      </c>
      <c r="B25" s="28">
        <v>0</v>
      </c>
      <c r="C25" s="28">
        <v>0</v>
      </c>
      <c r="D25" s="28">
        <v>0</v>
      </c>
      <c r="E25" s="28">
        <v>0</v>
      </c>
      <c r="F25" s="28">
        <v>0</v>
      </c>
      <c r="G25" s="28">
        <v>0</v>
      </c>
      <c r="H25" s="28">
        <v>0</v>
      </c>
      <c r="I25" s="28"/>
      <c r="J25" s="28"/>
      <c r="K25" s="28"/>
    </row>
    <row r="26" spans="1:14" s="24" customFormat="1">
      <c r="A26" s="19" t="s">
        <v>61</v>
      </c>
      <c r="B26" s="29">
        <v>0</v>
      </c>
      <c r="C26" s="29">
        <v>0</v>
      </c>
      <c r="D26" s="29">
        <v>0</v>
      </c>
      <c r="E26" s="29">
        <v>0</v>
      </c>
      <c r="F26" s="29">
        <v>0</v>
      </c>
      <c r="G26" s="29">
        <v>0</v>
      </c>
      <c r="H26" s="29">
        <v>0</v>
      </c>
      <c r="I26" s="30"/>
      <c r="J26" s="30"/>
      <c r="K26" s="30"/>
    </row>
    <row r="27" spans="1:14" s="32" customFormat="1">
      <c r="A27" s="17" t="s">
        <v>62</v>
      </c>
      <c r="B27" s="27">
        <f t="shared" ref="B27:H27" si="4">SUM(B24:B26)</f>
        <v>800</v>
      </c>
      <c r="C27" s="27">
        <f t="shared" si="4"/>
        <v>763</v>
      </c>
      <c r="D27" s="27">
        <f t="shared" si="4"/>
        <v>763</v>
      </c>
      <c r="E27" s="27">
        <f t="shared" si="4"/>
        <v>768</v>
      </c>
      <c r="F27" s="27">
        <f t="shared" si="4"/>
        <v>744</v>
      </c>
      <c r="G27" s="27">
        <f t="shared" si="4"/>
        <v>726</v>
      </c>
      <c r="H27" s="27">
        <f t="shared" si="4"/>
        <v>706</v>
      </c>
      <c r="I27" s="31"/>
      <c r="J27" s="31"/>
      <c r="K27" s="31"/>
    </row>
    <row r="28" spans="1:14" s="24" customFormat="1"/>
    <row r="29" spans="1:14" s="17" customFormat="1">
      <c r="A29" s="17" t="s">
        <v>58</v>
      </c>
      <c r="B29" s="27">
        <f>B22</f>
        <v>219</v>
      </c>
      <c r="C29" s="27">
        <f>C22</f>
        <v>173</v>
      </c>
      <c r="D29" s="27">
        <f t="shared" ref="D29:K29" si="5">D22</f>
        <v>191</v>
      </c>
      <c r="E29" s="27">
        <f t="shared" si="5"/>
        <v>217</v>
      </c>
      <c r="F29" s="27">
        <f t="shared" si="5"/>
        <v>182</v>
      </c>
      <c r="G29" s="27">
        <f t="shared" si="5"/>
        <v>173</v>
      </c>
      <c r="H29" s="27">
        <f t="shared" si="5"/>
        <v>196</v>
      </c>
      <c r="I29" s="27">
        <f t="shared" si="5"/>
        <v>193</v>
      </c>
      <c r="J29" s="27">
        <f t="shared" si="5"/>
        <v>164</v>
      </c>
      <c r="K29" s="27">
        <f t="shared" si="5"/>
        <v>153</v>
      </c>
    </row>
    <row r="30" spans="1:14" s="33" customFormat="1">
      <c r="A30" s="20" t="s">
        <v>63</v>
      </c>
      <c r="B30" s="20">
        <f>-127-E30-D30-C30</f>
        <v>-17</v>
      </c>
      <c r="C30" s="20">
        <v>-37</v>
      </c>
      <c r="D30" s="20">
        <v>-37</v>
      </c>
      <c r="E30" s="20">
        <v>-36</v>
      </c>
      <c r="F30" s="20">
        <f>-139-I30-I30-G30</f>
        <v>-28</v>
      </c>
      <c r="G30" s="20">
        <v>-37</v>
      </c>
      <c r="H30" s="20">
        <v>-36</v>
      </c>
      <c r="I30" s="20">
        <v>-37</v>
      </c>
      <c r="J30" s="20">
        <f>-133+103</f>
        <v>-30</v>
      </c>
      <c r="K30" s="20">
        <v>-36</v>
      </c>
    </row>
    <row r="31" spans="1:14" s="33" customFormat="1">
      <c r="A31" s="20" t="s">
        <v>64</v>
      </c>
      <c r="B31" s="20">
        <f>-70-E31-D31-C31</f>
        <v>-48</v>
      </c>
      <c r="C31" s="20">
        <v>-4</v>
      </c>
      <c r="D31" s="20">
        <v>-2</v>
      </c>
      <c r="E31" s="20">
        <v>-16</v>
      </c>
      <c r="F31" s="20">
        <f>-67-I31-H31-G31</f>
        <v>-34</v>
      </c>
      <c r="G31" s="20">
        <v>-10</v>
      </c>
      <c r="H31" s="20">
        <v>-15</v>
      </c>
      <c r="I31" s="20">
        <v>-8</v>
      </c>
      <c r="J31" s="20">
        <f>-44+32</f>
        <v>-12</v>
      </c>
      <c r="K31" s="20">
        <v>-9</v>
      </c>
    </row>
    <row r="32" spans="1:14" s="33" customFormat="1">
      <c r="A32" s="20" t="s">
        <v>65</v>
      </c>
      <c r="B32" s="20">
        <f>-33-E32-D32-C32</f>
        <v>3</v>
      </c>
      <c r="C32" s="20">
        <f>-36-E32-D32</f>
        <v>-14</v>
      </c>
      <c r="D32" s="20">
        <f>-70+23+96-71-E32</f>
        <v>5</v>
      </c>
      <c r="E32" s="20">
        <v>-27</v>
      </c>
      <c r="F32" s="20">
        <f>129-I32-H32-G32</f>
        <v>92</v>
      </c>
      <c r="G32" s="20">
        <f>37-I32-H32</f>
        <v>4</v>
      </c>
      <c r="H32" s="20">
        <f>33-I32</f>
        <v>31</v>
      </c>
      <c r="I32" s="20">
        <v>2</v>
      </c>
      <c r="J32" s="20">
        <f>-226+204</f>
        <v>-22</v>
      </c>
      <c r="K32" s="20">
        <f>-204-(-182-117+80-12)</f>
        <v>27</v>
      </c>
    </row>
    <row r="33" spans="1:11" s="33" customFormat="1">
      <c r="A33" s="20" t="s">
        <v>66</v>
      </c>
      <c r="B33" s="20">
        <v>0</v>
      </c>
      <c r="C33" s="20">
        <v>0</v>
      </c>
      <c r="D33" s="20">
        <v>0</v>
      </c>
      <c r="E33" s="20">
        <v>0</v>
      </c>
      <c r="F33" s="20">
        <v>0</v>
      </c>
      <c r="G33" s="20">
        <v>0</v>
      </c>
      <c r="H33" s="20">
        <v>0</v>
      </c>
      <c r="I33" s="20">
        <v>0</v>
      </c>
      <c r="J33" s="20">
        <v>0</v>
      </c>
      <c r="K33" s="20">
        <v>0</v>
      </c>
    </row>
    <row r="34" spans="1:11" s="33" customFormat="1">
      <c r="A34" s="20" t="s">
        <v>57</v>
      </c>
      <c r="B34" s="29">
        <v>0</v>
      </c>
      <c r="C34" s="29">
        <v>0</v>
      </c>
      <c r="D34" s="29">
        <v>0</v>
      </c>
      <c r="E34" s="29">
        <v>0</v>
      </c>
      <c r="F34" s="29">
        <v>0</v>
      </c>
      <c r="G34" s="29">
        <v>0</v>
      </c>
      <c r="H34" s="29">
        <v>0</v>
      </c>
      <c r="I34" s="29">
        <v>0</v>
      </c>
      <c r="J34" s="29">
        <v>0</v>
      </c>
      <c r="K34" s="29">
        <v>0</v>
      </c>
    </row>
    <row r="35" spans="1:11" s="27" customFormat="1">
      <c r="A35" s="27" t="s">
        <v>67</v>
      </c>
      <c r="B35" s="27">
        <f>416-E35-D35-C35</f>
        <v>116</v>
      </c>
      <c r="C35" s="27">
        <f>300-E35-D35</f>
        <v>72</v>
      </c>
      <c r="D35" s="27">
        <f>228-E35</f>
        <v>99</v>
      </c>
      <c r="E35" s="27">
        <v>129</v>
      </c>
      <c r="F35" s="27">
        <f>546-I35-H35-G35</f>
        <v>152</v>
      </c>
      <c r="G35" s="27">
        <f>394-I35-H35</f>
        <v>102</v>
      </c>
      <c r="H35" s="27">
        <f>292-I35</f>
        <v>189</v>
      </c>
      <c r="I35" s="27">
        <v>103</v>
      </c>
      <c r="J35" s="53">
        <f>38+25</f>
        <v>63</v>
      </c>
      <c r="K35" s="53">
        <f>-25+91</f>
        <v>66</v>
      </c>
    </row>
    <row r="36" spans="1:11" s="33" customFormat="1">
      <c r="A36" s="20" t="s">
        <v>68</v>
      </c>
      <c r="B36" s="29">
        <f>-393-E36-D36-C36</f>
        <v>-117</v>
      </c>
      <c r="C36" s="29">
        <f>-276-E36-D36</f>
        <v>-91</v>
      </c>
      <c r="D36" s="29">
        <f>-185-E36</f>
        <v>-84</v>
      </c>
      <c r="E36" s="29">
        <v>-101</v>
      </c>
      <c r="F36" s="29">
        <f>-381-I36-H36-G36</f>
        <v>-98</v>
      </c>
      <c r="G36" s="29">
        <f>-283-I36-H36</f>
        <v>-88</v>
      </c>
      <c r="H36" s="29">
        <f>-195-I36</f>
        <v>-101</v>
      </c>
      <c r="I36" s="29">
        <v>-94</v>
      </c>
      <c r="J36" s="29">
        <f>-440+326</f>
        <v>-114</v>
      </c>
      <c r="K36" s="29">
        <f>-326+216</f>
        <v>-110</v>
      </c>
    </row>
    <row r="37" spans="1:11" s="27" customFormat="1">
      <c r="A37" s="27" t="s">
        <v>69</v>
      </c>
      <c r="B37" s="27">
        <f>+B35+B36</f>
        <v>-1</v>
      </c>
      <c r="C37" s="27">
        <f>+C35+C36</f>
        <v>-19</v>
      </c>
      <c r="D37" s="27">
        <f>+D35+D36</f>
        <v>15</v>
      </c>
      <c r="E37" s="27">
        <f t="shared" ref="E37:K37" si="6">+E35+E36</f>
        <v>28</v>
      </c>
      <c r="F37" s="27">
        <f t="shared" si="6"/>
        <v>54</v>
      </c>
      <c r="G37" s="27">
        <f t="shared" si="6"/>
        <v>14</v>
      </c>
      <c r="H37" s="27">
        <f t="shared" si="6"/>
        <v>88</v>
      </c>
      <c r="I37" s="27">
        <f t="shared" si="6"/>
        <v>9</v>
      </c>
      <c r="J37" s="27">
        <f t="shared" si="6"/>
        <v>-51</v>
      </c>
      <c r="K37" s="27">
        <f t="shared" si="6"/>
        <v>-44</v>
      </c>
    </row>
    <row r="39" spans="1:11" s="35" customFormat="1">
      <c r="A39" s="34" t="s">
        <v>70</v>
      </c>
      <c r="B39" s="20">
        <v>250</v>
      </c>
      <c r="C39" s="20">
        <v>250</v>
      </c>
      <c r="D39" s="20">
        <v>250</v>
      </c>
      <c r="E39" s="20">
        <v>250</v>
      </c>
      <c r="F39" s="20">
        <v>345</v>
      </c>
      <c r="G39" s="20">
        <v>387</v>
      </c>
      <c r="H39" s="20">
        <v>390</v>
      </c>
      <c r="I39" s="20"/>
      <c r="J39" s="20"/>
      <c r="K39" s="20"/>
    </row>
    <row r="40" spans="1:11" s="35" customFormat="1">
      <c r="A40" s="34" t="s">
        <v>71</v>
      </c>
      <c r="B40" s="20">
        <f>1455+498+360+420</f>
        <v>2733</v>
      </c>
      <c r="C40" s="20">
        <f>1455+490+354+414</f>
        <v>2713</v>
      </c>
      <c r="D40" s="20">
        <f>1455+474+343+400</f>
        <v>2672</v>
      </c>
      <c r="E40" s="20">
        <f>E41-E39</f>
        <v>2782</v>
      </c>
      <c r="F40" s="20">
        <f>F41-F39</f>
        <v>2693</v>
      </c>
      <c r="G40" s="20">
        <f>G41-G39</f>
        <v>2719</v>
      </c>
      <c r="H40" s="20">
        <f>H41-H39</f>
        <v>2719</v>
      </c>
      <c r="I40" s="20"/>
      <c r="J40" s="20"/>
      <c r="K40" s="20"/>
    </row>
    <row r="41" spans="1:11" s="35" customFormat="1">
      <c r="A41" s="34" t="s">
        <v>72</v>
      </c>
      <c r="B41" s="20">
        <f>B39+B40+160</f>
        <v>3143</v>
      </c>
      <c r="C41" s="20">
        <v>3128</v>
      </c>
      <c r="D41" s="20">
        <v>3087</v>
      </c>
      <c r="E41" s="20">
        <v>3032</v>
      </c>
      <c r="F41" s="20">
        <v>3038</v>
      </c>
      <c r="G41" s="20">
        <v>3106</v>
      </c>
      <c r="H41" s="20">
        <v>3109</v>
      </c>
      <c r="I41" s="20"/>
      <c r="J41" s="20"/>
      <c r="K41" s="20"/>
    </row>
    <row r="42" spans="1:11" s="35" customFormat="1">
      <c r="A42" s="34" t="s">
        <v>73</v>
      </c>
      <c r="B42" s="36">
        <v>1397</v>
      </c>
      <c r="C42" s="36">
        <v>1095</v>
      </c>
      <c r="D42" s="36">
        <v>1085</v>
      </c>
      <c r="E42" s="36">
        <v>1030</v>
      </c>
      <c r="F42" s="36">
        <v>880</v>
      </c>
      <c r="G42" s="36">
        <v>991</v>
      </c>
      <c r="H42" s="36">
        <v>964</v>
      </c>
      <c r="I42" s="36"/>
      <c r="J42" s="36"/>
      <c r="K42" s="36"/>
    </row>
    <row r="43" spans="1:11">
      <c r="B43" s="35"/>
      <c r="C43" s="35"/>
      <c r="D43" s="35"/>
      <c r="E43" s="35"/>
      <c r="F43" s="35"/>
    </row>
    <row r="44" spans="1:11">
      <c r="A44" s="19" t="s">
        <v>74</v>
      </c>
      <c r="B44" s="28">
        <v>319</v>
      </c>
      <c r="C44" s="28">
        <v>305</v>
      </c>
      <c r="D44" s="28">
        <v>334</v>
      </c>
      <c r="E44" s="28">
        <v>336</v>
      </c>
      <c r="F44" s="28">
        <v>300</v>
      </c>
      <c r="G44" s="28">
        <v>330</v>
      </c>
      <c r="H44" s="28">
        <v>290</v>
      </c>
      <c r="I44" s="28"/>
      <c r="J44" s="28"/>
      <c r="K44" s="28"/>
    </row>
    <row r="46" spans="1:11">
      <c r="A46" s="14" t="s">
        <v>75</v>
      </c>
      <c r="B46" s="33">
        <f t="shared" ref="B46:H46" si="7">SUM(B12:E12)</f>
        <v>7941</v>
      </c>
      <c r="C46" s="33">
        <f t="shared" si="7"/>
        <v>7795</v>
      </c>
      <c r="D46" s="33">
        <f t="shared" si="7"/>
        <v>7689</v>
      </c>
      <c r="E46" s="33">
        <f t="shared" si="7"/>
        <v>7630</v>
      </c>
      <c r="F46" s="33">
        <f t="shared" si="7"/>
        <v>7489</v>
      </c>
      <c r="G46" s="33">
        <f t="shared" si="7"/>
        <v>7504</v>
      </c>
      <c r="H46" s="33">
        <f t="shared" si="7"/>
        <v>7575</v>
      </c>
    </row>
    <row r="47" spans="1:11">
      <c r="A47" s="14" t="s">
        <v>76</v>
      </c>
      <c r="B47" s="33">
        <f>+B27</f>
        <v>800</v>
      </c>
      <c r="C47" s="33">
        <f t="shared" ref="C47:H47" si="8">+C27</f>
        <v>763</v>
      </c>
      <c r="D47" s="33">
        <f t="shared" si="8"/>
        <v>763</v>
      </c>
      <c r="E47" s="33">
        <f t="shared" si="8"/>
        <v>768</v>
      </c>
      <c r="F47" s="33">
        <f t="shared" si="8"/>
        <v>744</v>
      </c>
      <c r="G47" s="33">
        <f t="shared" si="8"/>
        <v>726</v>
      </c>
      <c r="H47" s="33">
        <f t="shared" si="8"/>
        <v>706</v>
      </c>
    </row>
    <row r="48" spans="1:11">
      <c r="A48" s="14" t="s">
        <v>77</v>
      </c>
      <c r="B48" s="33">
        <f t="shared" ref="B48:H48" si="9">+SUM(B37:E37)</f>
        <v>23</v>
      </c>
      <c r="C48" s="33">
        <f t="shared" si="9"/>
        <v>78</v>
      </c>
      <c r="D48" s="33">
        <f t="shared" si="9"/>
        <v>111</v>
      </c>
      <c r="E48" s="33">
        <f t="shared" si="9"/>
        <v>184</v>
      </c>
      <c r="F48" s="33">
        <f t="shared" si="9"/>
        <v>165</v>
      </c>
      <c r="G48" s="33">
        <f t="shared" si="9"/>
        <v>60</v>
      </c>
      <c r="H48" s="33">
        <f t="shared" si="9"/>
        <v>2</v>
      </c>
    </row>
    <row r="50" spans="1:11" s="37" customFormat="1">
      <c r="A50" s="37" t="s">
        <v>78</v>
      </c>
      <c r="B50" s="37">
        <f t="shared" ref="B50:H50" si="10">+SUM(B39:B40)/B47</f>
        <v>3.7287499999999998</v>
      </c>
      <c r="C50" s="37">
        <f t="shared" si="10"/>
        <v>3.8833551769331587</v>
      </c>
      <c r="D50" s="37">
        <f t="shared" si="10"/>
        <v>3.8296199213630406</v>
      </c>
      <c r="E50" s="37">
        <f t="shared" si="10"/>
        <v>3.9479166666666665</v>
      </c>
      <c r="F50" s="37">
        <f t="shared" si="10"/>
        <v>4.083333333333333</v>
      </c>
      <c r="G50" s="37">
        <f t="shared" si="10"/>
        <v>4.2782369146005506</v>
      </c>
      <c r="H50" s="37">
        <f t="shared" si="10"/>
        <v>4.4036827195467421</v>
      </c>
    </row>
    <row r="51" spans="1:11" s="37" customFormat="1">
      <c r="A51" s="37" t="s">
        <v>79</v>
      </c>
      <c r="B51" s="37">
        <f t="shared" ref="B51:H51" si="11">+B41/B47</f>
        <v>3.92875</v>
      </c>
      <c r="C51" s="37">
        <f t="shared" si="11"/>
        <v>4.0996068152031455</v>
      </c>
      <c r="D51" s="37">
        <f t="shared" si="11"/>
        <v>4.0458715596330279</v>
      </c>
      <c r="E51" s="37">
        <f t="shared" si="11"/>
        <v>3.9479166666666665</v>
      </c>
      <c r="F51" s="37">
        <f t="shared" si="11"/>
        <v>4.083333333333333</v>
      </c>
      <c r="G51" s="37">
        <f t="shared" si="11"/>
        <v>4.2782369146005506</v>
      </c>
      <c r="H51" s="37">
        <f t="shared" si="11"/>
        <v>4.4036827195467421</v>
      </c>
    </row>
    <row r="52" spans="1:11" s="37" customFormat="1">
      <c r="A52" s="37" t="s">
        <v>80</v>
      </c>
      <c r="B52" s="37">
        <f t="shared" ref="B52:H52" si="12">+(B41-B44)/B47</f>
        <v>3.53</v>
      </c>
      <c r="C52" s="37">
        <f t="shared" si="12"/>
        <v>3.6998689384010484</v>
      </c>
      <c r="D52" s="37">
        <f t="shared" si="12"/>
        <v>3.6081258191349934</v>
      </c>
      <c r="E52" s="37">
        <f t="shared" si="12"/>
        <v>3.5104166666666665</v>
      </c>
      <c r="F52" s="37">
        <f t="shared" si="12"/>
        <v>3.6801075268817205</v>
      </c>
      <c r="G52" s="37">
        <f t="shared" si="12"/>
        <v>3.8236914600550964</v>
      </c>
      <c r="H52" s="37">
        <f t="shared" si="12"/>
        <v>3.9929178470254958</v>
      </c>
    </row>
    <row r="53" spans="1:11" s="38" customFormat="1">
      <c r="A53" s="38" t="s">
        <v>81</v>
      </c>
      <c r="B53" s="38">
        <f>+B48/B41</f>
        <v>7.3178491886732424E-3</v>
      </c>
      <c r="C53" s="38">
        <f t="shared" ref="C53:H53" si="13">+C48/C41</f>
        <v>2.4936061381074168E-2</v>
      </c>
      <c r="D53" s="38">
        <f t="shared" si="13"/>
        <v>3.5957240038872691E-2</v>
      </c>
      <c r="E53" s="38">
        <f t="shared" si="13"/>
        <v>6.0686015831134567E-2</v>
      </c>
      <c r="F53" s="38">
        <f t="shared" si="13"/>
        <v>5.4312047399605004E-2</v>
      </c>
      <c r="G53" s="38">
        <f t="shared" si="13"/>
        <v>1.9317450096587252E-2</v>
      </c>
      <c r="H53" s="38">
        <f t="shared" si="13"/>
        <v>6.4329366355741395E-4</v>
      </c>
    </row>
    <row r="54" spans="1:11" s="38" customFormat="1">
      <c r="A54" s="39" t="s">
        <v>82</v>
      </c>
      <c r="B54" s="40"/>
      <c r="C54" s="40"/>
      <c r="D54" s="40"/>
      <c r="E54" s="40"/>
      <c r="F54" s="40"/>
      <c r="G54" s="40"/>
      <c r="H54" s="40"/>
      <c r="I54" s="39"/>
      <c r="J54" s="39"/>
      <c r="K54" s="39"/>
    </row>
    <row r="55" spans="1:11" s="38" customFormat="1">
      <c r="A55" s="38" t="s">
        <v>83</v>
      </c>
      <c r="B55" s="41">
        <f t="shared" ref="B55:H55" si="14">IF(B42=0,IF(B54="","","*"&amp;TEXT(B54,"0.0x")),(B41+B42-B44)/B47)</f>
        <v>5.2762500000000001</v>
      </c>
      <c r="C55" s="41">
        <f t="shared" si="14"/>
        <v>5.1349934469200527</v>
      </c>
      <c r="D55" s="41">
        <f t="shared" si="14"/>
        <v>5.0301441677588468</v>
      </c>
      <c r="E55" s="41">
        <f t="shared" si="14"/>
        <v>4.8515625</v>
      </c>
      <c r="F55" s="41">
        <f t="shared" si="14"/>
        <v>4.862903225806452</v>
      </c>
      <c r="G55" s="41">
        <f t="shared" si="14"/>
        <v>5.1887052341597792</v>
      </c>
      <c r="H55" s="41">
        <f t="shared" si="14"/>
        <v>5.358356940509915</v>
      </c>
      <c r="I55" s="41" t="str">
        <f>IF(I42=0,IF(I54="","",CONCATENATE("* ",I54,"x")),(I41+I42-I44)/I47)</f>
        <v/>
      </c>
      <c r="J55" s="41" t="str">
        <f>IF(J42=0,IF(J54="","",CONCATENATE("* ",J54,"x")),(J41+J42-J44)/J47)</f>
        <v/>
      </c>
      <c r="K55" s="41" t="str">
        <f>IF(K42=0,IF(K54="","",CONCATENATE("* ",K54,"x")),(K41+K42-K44)/K47)</f>
        <v/>
      </c>
    </row>
    <row r="56" spans="1:11">
      <c r="H56" s="42"/>
    </row>
    <row r="57" spans="1:11" ht="80.25" customHeight="1">
      <c r="A57" s="43" t="s">
        <v>84</v>
      </c>
      <c r="B57" s="44"/>
      <c r="C57" s="44"/>
      <c r="D57" s="44"/>
      <c r="E57" s="44"/>
      <c r="F57" s="44"/>
      <c r="G57" s="44"/>
      <c r="H57" s="44"/>
      <c r="I57" s="44"/>
      <c r="J57" s="44"/>
      <c r="K57" s="44"/>
    </row>
    <row r="58" spans="1:11">
      <c r="A58" s="45"/>
      <c r="B58" s="42"/>
      <c r="C58" s="42"/>
      <c r="D58" s="42"/>
    </row>
    <row r="59" spans="1:11">
      <c r="A59" s="45"/>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Q59"/>
  <sheetViews>
    <sheetView showGridLines="0" zoomScaleNormal="100" workbookViewId="0">
      <pane xSplit="1" ySplit="10" topLeftCell="B11" activePane="bottomRight" state="frozen"/>
      <selection activeCell="B8" sqref="B8"/>
      <selection pane="topRight" activeCell="B8" sqref="B8"/>
      <selection pane="bottomLeft" activeCell="B8" sqref="B8"/>
      <selection pane="bottomRight" activeCell="B7" sqref="B7"/>
    </sheetView>
  </sheetViews>
  <sheetFormatPr defaultColWidth="9.109375" defaultRowHeight="13.8"/>
  <cols>
    <col min="1" max="1" width="22.6640625" style="14" customWidth="1"/>
    <col min="2" max="14" width="10.6640625" style="14" customWidth="1"/>
    <col min="15" max="16384" width="9.109375" style="14"/>
  </cols>
  <sheetData>
    <row r="2" spans="1:15">
      <c r="A2" s="13" t="s">
        <v>44</v>
      </c>
      <c r="B2" s="14" t="s">
        <v>5</v>
      </c>
    </row>
    <row r="3" spans="1:15" s="16" customFormat="1">
      <c r="A3" s="15" t="s">
        <v>45</v>
      </c>
      <c r="B3" s="16" t="s">
        <v>117</v>
      </c>
    </row>
    <row r="4" spans="1:15">
      <c r="A4" s="13" t="s">
        <v>2</v>
      </c>
      <c r="B4" s="14" t="s">
        <v>4</v>
      </c>
    </row>
    <row r="5" spans="1:15">
      <c r="A5" s="13" t="s">
        <v>46</v>
      </c>
    </row>
    <row r="6" spans="1:15">
      <c r="A6" s="13" t="s">
        <v>47</v>
      </c>
      <c r="B6" s="14">
        <v>3</v>
      </c>
    </row>
    <row r="7" spans="1:15">
      <c r="A7" s="13" t="s">
        <v>48</v>
      </c>
      <c r="B7" s="14" t="e">
        <v>#N/A</v>
      </c>
    </row>
    <row r="8" spans="1:15">
      <c r="A8" s="13" t="s">
        <v>347</v>
      </c>
      <c r="B8" s="14" t="e">
        <v>#N/A</v>
      </c>
    </row>
    <row r="9" spans="1:15">
      <c r="A9" s="17"/>
    </row>
    <row r="10" spans="1:15">
      <c r="A10" s="17" t="s">
        <v>49</v>
      </c>
      <c r="B10" s="18">
        <v>43373</v>
      </c>
      <c r="C10" s="18">
        <v>43281</v>
      </c>
      <c r="D10" s="18">
        <v>43190</v>
      </c>
      <c r="E10" s="18">
        <v>43100</v>
      </c>
      <c r="F10" s="18">
        <v>43008</v>
      </c>
      <c r="G10" s="18">
        <v>42916</v>
      </c>
      <c r="H10" s="18">
        <v>42825</v>
      </c>
      <c r="I10" s="18">
        <v>42735</v>
      </c>
      <c r="J10" s="18">
        <v>42643</v>
      </c>
      <c r="K10" s="18">
        <v>42551</v>
      </c>
      <c r="L10" s="18">
        <v>42460</v>
      </c>
      <c r="M10" s="18">
        <v>42369</v>
      </c>
      <c r="N10" s="18">
        <v>42277</v>
      </c>
    </row>
    <row r="12" spans="1:15">
      <c r="A12" s="19" t="s">
        <v>50</v>
      </c>
      <c r="B12" s="20">
        <v>271.10000000000002</v>
      </c>
      <c r="C12" s="20">
        <v>260.60000000000002</v>
      </c>
      <c r="D12" s="20">
        <v>259.923</v>
      </c>
      <c r="E12" s="20">
        <f>988.325-F12-G12-H12</f>
        <v>248.14800000000011</v>
      </c>
      <c r="F12" s="20">
        <v>245.8</v>
      </c>
      <c r="G12" s="20">
        <v>245.71199999999999</v>
      </c>
      <c r="H12" s="20">
        <v>248.66499999999999</v>
      </c>
      <c r="I12" s="20">
        <f>929.095-L12-K12-J12</f>
        <v>236.22500000000002</v>
      </c>
      <c r="J12" s="20">
        <v>232.49299999999999</v>
      </c>
      <c r="K12" s="20">
        <v>228.06</v>
      </c>
      <c r="L12" s="20">
        <v>232.31700000000001</v>
      </c>
      <c r="M12" s="20">
        <f>763.332-549.821</f>
        <v>213.51099999999997</v>
      </c>
      <c r="N12" s="20">
        <v>203.017</v>
      </c>
      <c r="O12" s="17"/>
    </row>
    <row r="13" spans="1:15" s="21" customFormat="1">
      <c r="A13" s="21" t="s">
        <v>51</v>
      </c>
      <c r="B13" s="21">
        <f t="shared" ref="B13:J13" si="0">+B12/F12-1</f>
        <v>0.10292921074043937</v>
      </c>
      <c r="C13" s="21">
        <f t="shared" si="0"/>
        <v>6.0591261314058897E-2</v>
      </c>
      <c r="D13" s="21">
        <f t="shared" si="0"/>
        <v>4.5273761888484643E-2</v>
      </c>
      <c r="E13" s="21">
        <f t="shared" si="0"/>
        <v>5.0473065932903349E-2</v>
      </c>
      <c r="F13" s="21">
        <f t="shared" si="0"/>
        <v>5.7236131840528559E-2</v>
      </c>
      <c r="G13" s="21">
        <f t="shared" si="0"/>
        <v>7.7400684030518141E-2</v>
      </c>
      <c r="H13" s="21">
        <f t="shared" si="0"/>
        <v>7.0369365995600841E-2</v>
      </c>
      <c r="I13" s="21">
        <f t="shared" si="0"/>
        <v>0.10638327767656031</v>
      </c>
      <c r="J13" s="21">
        <f t="shared" si="0"/>
        <v>0.14518981169064649</v>
      </c>
    </row>
    <row r="14" spans="1:15" s="24" customFormat="1">
      <c r="A14" s="22" t="s">
        <v>52</v>
      </c>
      <c r="B14" s="23" t="s">
        <v>3</v>
      </c>
      <c r="C14" s="23" t="s">
        <v>3</v>
      </c>
      <c r="D14" s="23" t="s">
        <v>3</v>
      </c>
      <c r="E14" s="23" t="s">
        <v>3</v>
      </c>
      <c r="F14" s="23" t="s">
        <v>3</v>
      </c>
      <c r="G14" s="23" t="s">
        <v>3</v>
      </c>
      <c r="H14" s="23" t="s">
        <v>3</v>
      </c>
      <c r="I14" s="23" t="s">
        <v>3</v>
      </c>
      <c r="J14" s="23" t="s">
        <v>3</v>
      </c>
      <c r="K14" s="22"/>
      <c r="L14" s="22"/>
      <c r="M14" s="22"/>
      <c r="N14" s="22"/>
    </row>
    <row r="16" spans="1:15" s="17" customFormat="1">
      <c r="A16" s="25" t="s">
        <v>53</v>
      </c>
      <c r="B16" s="26">
        <v>24.1</v>
      </c>
      <c r="C16" s="26">
        <v>23.2</v>
      </c>
      <c r="D16" s="26">
        <v>21.5</v>
      </c>
      <c r="E16" s="26">
        <v>20.6</v>
      </c>
      <c r="F16" s="26">
        <v>20.7</v>
      </c>
      <c r="G16" s="26">
        <v>22.4</v>
      </c>
      <c r="H16" s="26">
        <v>20.5</v>
      </c>
      <c r="I16" s="26">
        <v>16.2</v>
      </c>
      <c r="J16" s="26">
        <v>18.8</v>
      </c>
      <c r="K16" s="26">
        <v>19.2</v>
      </c>
      <c r="L16" s="26">
        <v>18.7</v>
      </c>
      <c r="M16" s="26">
        <v>13.9</v>
      </c>
      <c r="N16" s="26">
        <v>17.3</v>
      </c>
    </row>
    <row r="17" spans="1:15" s="21" customFormat="1">
      <c r="A17" s="21" t="s">
        <v>54</v>
      </c>
      <c r="B17" s="21">
        <f t="shared" ref="B17:N17" si="1">+B16/B12</f>
        <v>8.8897085946145329E-2</v>
      </c>
      <c r="C17" s="21">
        <f t="shared" si="1"/>
        <v>8.9025326170376048E-2</v>
      </c>
      <c r="D17" s="21">
        <f t="shared" si="1"/>
        <v>8.2716804592129212E-2</v>
      </c>
      <c r="E17" s="21">
        <f t="shared" si="1"/>
        <v>8.3014974934313368E-2</v>
      </c>
      <c r="F17" s="21">
        <f t="shared" si="1"/>
        <v>8.4214808787632212E-2</v>
      </c>
      <c r="G17" s="21">
        <f t="shared" si="1"/>
        <v>9.1163638731523083E-2</v>
      </c>
      <c r="H17" s="21">
        <f t="shared" si="1"/>
        <v>8.244023083264633E-2</v>
      </c>
      <c r="I17" s="21">
        <f t="shared" si="1"/>
        <v>6.857868557519313E-2</v>
      </c>
      <c r="J17" s="21">
        <f t="shared" si="1"/>
        <v>8.0862649628160851E-2</v>
      </c>
      <c r="K17" s="21">
        <f t="shared" si="1"/>
        <v>8.4188371481189156E-2</v>
      </c>
      <c r="L17" s="21">
        <f t="shared" si="1"/>
        <v>8.0493463672481988E-2</v>
      </c>
      <c r="M17" s="21">
        <f t="shared" si="1"/>
        <v>6.5102032213796956E-2</v>
      </c>
      <c r="N17" s="21">
        <f t="shared" si="1"/>
        <v>8.5214538683952581E-2</v>
      </c>
    </row>
    <row r="18" spans="1:15" s="24" customFormat="1"/>
    <row r="19" spans="1:15" s="24" customFormat="1">
      <c r="A19" s="19" t="s">
        <v>55</v>
      </c>
      <c r="B19" s="20">
        <v>0</v>
      </c>
      <c r="C19" s="20">
        <v>0</v>
      </c>
      <c r="D19" s="20">
        <v>0</v>
      </c>
      <c r="E19" s="20">
        <v>0</v>
      </c>
      <c r="F19" s="20">
        <v>0</v>
      </c>
      <c r="G19" s="20">
        <v>0</v>
      </c>
      <c r="H19" s="20">
        <v>0</v>
      </c>
      <c r="I19" s="20">
        <v>0</v>
      </c>
      <c r="J19" s="20">
        <v>0</v>
      </c>
      <c r="K19" s="20">
        <v>0</v>
      </c>
      <c r="L19" s="20">
        <v>0</v>
      </c>
      <c r="M19" s="20">
        <v>0</v>
      </c>
      <c r="N19" s="20">
        <v>0</v>
      </c>
    </row>
    <row r="20" spans="1:15" s="24" customFormat="1">
      <c r="A20" s="19" t="s">
        <v>56</v>
      </c>
      <c r="B20" s="20">
        <v>0</v>
      </c>
      <c r="C20" s="20">
        <v>0</v>
      </c>
      <c r="D20" s="20">
        <v>0</v>
      </c>
      <c r="E20" s="20">
        <v>0</v>
      </c>
      <c r="F20" s="20">
        <v>0</v>
      </c>
      <c r="G20" s="20">
        <v>0</v>
      </c>
      <c r="H20" s="20">
        <v>0</v>
      </c>
      <c r="I20" s="20">
        <v>0</v>
      </c>
      <c r="J20" s="20">
        <v>0</v>
      </c>
      <c r="K20" s="20">
        <v>0</v>
      </c>
      <c r="L20" s="20">
        <v>0</v>
      </c>
      <c r="M20" s="20">
        <v>0</v>
      </c>
      <c r="N20" s="20">
        <v>0</v>
      </c>
    </row>
    <row r="21" spans="1:15" s="24" customFormat="1">
      <c r="A21" s="19" t="s">
        <v>57</v>
      </c>
      <c r="B21" s="20">
        <v>0</v>
      </c>
      <c r="C21" s="20">
        <v>0</v>
      </c>
      <c r="D21" s="20">
        <v>0</v>
      </c>
      <c r="E21" s="20">
        <v>0</v>
      </c>
      <c r="F21" s="20">
        <v>0</v>
      </c>
      <c r="G21" s="20">
        <v>0</v>
      </c>
      <c r="H21" s="20">
        <v>0</v>
      </c>
      <c r="I21" s="20">
        <v>0</v>
      </c>
      <c r="J21" s="20">
        <v>0</v>
      </c>
      <c r="K21" s="20">
        <v>0</v>
      </c>
      <c r="L21" s="20">
        <v>0</v>
      </c>
      <c r="M21" s="20">
        <v>0</v>
      </c>
      <c r="N21" s="20">
        <v>0</v>
      </c>
    </row>
    <row r="22" spans="1:15" s="17" customFormat="1">
      <c r="A22" s="17" t="s">
        <v>58</v>
      </c>
      <c r="B22" s="27">
        <f t="shared" ref="B22:N22" si="2">SUM(B16,B19:B21)</f>
        <v>24.1</v>
      </c>
      <c r="C22" s="27">
        <f t="shared" si="2"/>
        <v>23.2</v>
      </c>
      <c r="D22" s="27">
        <f t="shared" si="2"/>
        <v>21.5</v>
      </c>
      <c r="E22" s="27">
        <f t="shared" si="2"/>
        <v>20.6</v>
      </c>
      <c r="F22" s="27">
        <f t="shared" si="2"/>
        <v>20.7</v>
      </c>
      <c r="G22" s="27">
        <f t="shared" si="2"/>
        <v>22.4</v>
      </c>
      <c r="H22" s="27">
        <f t="shared" si="2"/>
        <v>20.5</v>
      </c>
      <c r="I22" s="27">
        <f t="shared" si="2"/>
        <v>16.2</v>
      </c>
      <c r="J22" s="27">
        <f t="shared" si="2"/>
        <v>18.8</v>
      </c>
      <c r="K22" s="27">
        <f t="shared" si="2"/>
        <v>19.2</v>
      </c>
      <c r="L22" s="27">
        <f t="shared" si="2"/>
        <v>18.7</v>
      </c>
      <c r="M22" s="27">
        <f t="shared" si="2"/>
        <v>13.9</v>
      </c>
      <c r="N22" s="27">
        <f t="shared" si="2"/>
        <v>17.3</v>
      </c>
    </row>
    <row r="23" spans="1:15" s="17" customFormat="1">
      <c r="B23" s="27"/>
      <c r="C23" s="27"/>
      <c r="D23" s="27"/>
      <c r="E23" s="27"/>
      <c r="F23" s="27"/>
      <c r="G23" s="27"/>
      <c r="H23" s="27"/>
      <c r="I23" s="27"/>
      <c r="J23" s="27"/>
      <c r="K23" s="27"/>
      <c r="L23" s="27"/>
      <c r="M23" s="27"/>
      <c r="N23" s="27"/>
    </row>
    <row r="24" spans="1:15" s="17" customFormat="1">
      <c r="A24" s="17" t="s">
        <v>59</v>
      </c>
      <c r="B24" s="46">
        <v>88.6</v>
      </c>
      <c r="C24" s="46">
        <v>85.1</v>
      </c>
      <c r="D24" s="46">
        <v>85</v>
      </c>
      <c r="E24" s="46">
        <v>84.1</v>
      </c>
      <c r="F24" s="46">
        <v>80.2</v>
      </c>
      <c r="G24" s="27">
        <f t="shared" ref="G24:K24" si="3">SUM(G22:J22)</f>
        <v>77.899999999999991</v>
      </c>
      <c r="H24" s="27">
        <f t="shared" si="3"/>
        <v>74.7</v>
      </c>
      <c r="I24" s="27">
        <f t="shared" si="3"/>
        <v>72.900000000000006</v>
      </c>
      <c r="J24" s="27">
        <f t="shared" si="3"/>
        <v>70.600000000000009</v>
      </c>
      <c r="K24" s="27">
        <f t="shared" si="3"/>
        <v>69.099999999999994</v>
      </c>
      <c r="L24" s="27"/>
      <c r="M24" s="27"/>
      <c r="N24" s="27"/>
    </row>
    <row r="25" spans="1:15" s="24" customFormat="1">
      <c r="A25" s="19" t="s">
        <v>60</v>
      </c>
      <c r="B25" s="28">
        <v>3.5</v>
      </c>
      <c r="C25" s="28">
        <v>4.8</v>
      </c>
      <c r="D25" s="28">
        <v>0.8</v>
      </c>
      <c r="E25" s="28">
        <v>0.5</v>
      </c>
      <c r="F25" s="28">
        <v>0.4</v>
      </c>
      <c r="G25" s="28">
        <f>78.2-G24</f>
        <v>0.30000000000001137</v>
      </c>
      <c r="H25" s="28">
        <f>75.1-H24</f>
        <v>0.39999999999999147</v>
      </c>
      <c r="I25" s="28">
        <f>73.6-I24</f>
        <v>0.69999999999998863</v>
      </c>
      <c r="J25" s="28">
        <f>71.4-J24</f>
        <v>0.79999999999999716</v>
      </c>
      <c r="K25" s="28">
        <f>71.3-K24</f>
        <v>2.2000000000000028</v>
      </c>
      <c r="L25" s="28"/>
      <c r="M25" s="28"/>
      <c r="N25" s="28"/>
      <c r="O25" s="32"/>
    </row>
    <row r="26" spans="1:15" s="24" customFormat="1">
      <c r="A26" s="19" t="s">
        <v>61</v>
      </c>
      <c r="B26" s="28">
        <v>0</v>
      </c>
      <c r="C26" s="28">
        <v>0</v>
      </c>
      <c r="D26" s="29">
        <v>0</v>
      </c>
      <c r="E26" s="29">
        <v>0</v>
      </c>
      <c r="F26" s="29">
        <v>0</v>
      </c>
      <c r="G26" s="29">
        <v>0</v>
      </c>
      <c r="H26" s="29">
        <v>0</v>
      </c>
      <c r="I26" s="29">
        <v>0</v>
      </c>
      <c r="J26" s="29">
        <v>0</v>
      </c>
      <c r="K26" s="29">
        <v>0</v>
      </c>
      <c r="L26" s="30"/>
      <c r="M26" s="30"/>
      <c r="N26" s="30"/>
    </row>
    <row r="27" spans="1:15" s="32" customFormat="1">
      <c r="A27" s="17" t="s">
        <v>62</v>
      </c>
      <c r="B27" s="85">
        <f t="shared" ref="B27:K27" si="4">SUM(B24:B26)</f>
        <v>92.1</v>
      </c>
      <c r="C27" s="85">
        <f t="shared" si="4"/>
        <v>89.899999999999991</v>
      </c>
      <c r="D27" s="27">
        <f t="shared" si="4"/>
        <v>85.8</v>
      </c>
      <c r="E27" s="27">
        <f t="shared" si="4"/>
        <v>84.6</v>
      </c>
      <c r="F27" s="27">
        <f t="shared" si="4"/>
        <v>80.600000000000009</v>
      </c>
      <c r="G27" s="27">
        <f t="shared" si="4"/>
        <v>78.2</v>
      </c>
      <c r="H27" s="27">
        <f t="shared" si="4"/>
        <v>75.099999999999994</v>
      </c>
      <c r="I27" s="27">
        <f t="shared" si="4"/>
        <v>73.599999999999994</v>
      </c>
      <c r="J27" s="27">
        <f t="shared" si="4"/>
        <v>71.400000000000006</v>
      </c>
      <c r="K27" s="27">
        <f t="shared" si="4"/>
        <v>71.3</v>
      </c>
      <c r="L27" s="31"/>
      <c r="M27" s="31"/>
      <c r="N27" s="31"/>
    </row>
    <row r="28" spans="1:15" s="24" customFormat="1"/>
    <row r="29" spans="1:15" s="17" customFormat="1">
      <c r="A29" s="17" t="s">
        <v>58</v>
      </c>
      <c r="B29" s="27">
        <f>B22</f>
        <v>24.1</v>
      </c>
      <c r="C29" s="27">
        <f>C22</f>
        <v>23.2</v>
      </c>
      <c r="D29" s="27">
        <f>D22</f>
        <v>21.5</v>
      </c>
      <c r="E29" s="27">
        <f>E22</f>
        <v>20.6</v>
      </c>
      <c r="F29" s="27">
        <f>F22</f>
        <v>20.7</v>
      </c>
      <c r="G29" s="27">
        <f t="shared" ref="G29:N29" si="5">G22</f>
        <v>22.4</v>
      </c>
      <c r="H29" s="27">
        <f t="shared" si="5"/>
        <v>20.5</v>
      </c>
      <c r="I29" s="27">
        <f t="shared" si="5"/>
        <v>16.2</v>
      </c>
      <c r="J29" s="27">
        <f t="shared" si="5"/>
        <v>18.8</v>
      </c>
      <c r="K29" s="27">
        <f t="shared" si="5"/>
        <v>19.2</v>
      </c>
      <c r="L29" s="27">
        <f t="shared" si="5"/>
        <v>18.7</v>
      </c>
      <c r="M29" s="27">
        <f t="shared" si="5"/>
        <v>13.9</v>
      </c>
      <c r="N29" s="27">
        <f t="shared" si="5"/>
        <v>17.3</v>
      </c>
    </row>
    <row r="30" spans="1:15" s="33" customFormat="1">
      <c r="A30" s="20" t="s">
        <v>63</v>
      </c>
      <c r="B30" s="20">
        <f>-27.147-C30-D30</f>
        <v>-9.8599999999999977</v>
      </c>
      <c r="C30" s="20">
        <v>-8.9169999999999998</v>
      </c>
      <c r="D30" s="20">
        <v>-8.3699999999999992</v>
      </c>
      <c r="E30" s="20">
        <f>-28.113-F30-G30-H30</f>
        <v>-7.5880000000000001</v>
      </c>
      <c r="F30" s="20">
        <f>-20.525-H30-G30</f>
        <v>-6.323999999999999</v>
      </c>
      <c r="G30" s="20">
        <f>-14.201-H30</f>
        <v>-6.6700000000000008</v>
      </c>
      <c r="H30" s="20">
        <v>-7.5309999999999997</v>
      </c>
      <c r="I30" s="20">
        <f>-33.934-L30-K30-J30</f>
        <v>-10.061999999999998</v>
      </c>
      <c r="J30" s="20">
        <f>-23.872-L30-K30</f>
        <v>-7.9720000000000004</v>
      </c>
      <c r="K30" s="20">
        <f>-15.9-L30</f>
        <v>-7.9119999999999999</v>
      </c>
      <c r="L30" s="20">
        <v>-7.9880000000000004</v>
      </c>
      <c r="M30" s="20">
        <f>-28.977+23.082</f>
        <v>-5.8949999999999996</v>
      </c>
      <c r="N30" s="20">
        <f>-23.082+13.576</f>
        <v>-9.5060000000000002</v>
      </c>
    </row>
    <row r="31" spans="1:15" s="33" customFormat="1">
      <c r="A31" s="20" t="s">
        <v>64</v>
      </c>
      <c r="B31" s="20">
        <f>-0.73-C31-D31</f>
        <v>2.8739999999999997</v>
      </c>
      <c r="C31" s="20">
        <v>-0.95</v>
      </c>
      <c r="D31" s="20">
        <v>-2.6539999999999999</v>
      </c>
      <c r="E31" s="20">
        <f>0.985-F31-G31-H31</f>
        <v>0.89499999999999991</v>
      </c>
      <c r="F31" s="20">
        <f>0.09-H31-G31</f>
        <v>0.03</v>
      </c>
      <c r="G31" s="20">
        <f>0.06-H31</f>
        <v>-9.1999999999999998E-2</v>
      </c>
      <c r="H31" s="20">
        <v>0.152</v>
      </c>
      <c r="I31" s="20">
        <f>0.078-L31-K31-J31</f>
        <v>0.11099999999999999</v>
      </c>
      <c r="J31" s="20">
        <f>-0.033-L31-K31</f>
        <v>-0.193</v>
      </c>
      <c r="K31" s="20">
        <f>0.16-L31</f>
        <v>-6.5000000000000002E-2</v>
      </c>
      <c r="L31" s="20">
        <v>0.22500000000000001</v>
      </c>
      <c r="M31" s="20">
        <f>-3.067+0.634</f>
        <v>-2.4330000000000003</v>
      </c>
      <c r="N31" s="20">
        <f>-0.634+0.02</f>
        <v>-0.61399999999999999</v>
      </c>
    </row>
    <row r="32" spans="1:15" s="33" customFormat="1">
      <c r="A32" s="20" t="s">
        <v>65</v>
      </c>
      <c r="B32" s="20">
        <f>-2.124-1.274+0.647-0.951+5.054-C32-D32</f>
        <v>1.1849999999999996</v>
      </c>
      <c r="C32" s="20">
        <f>0.253-0.056-0.78-2.177+2.927-D32</f>
        <v>6.3930000000000007</v>
      </c>
      <c r="D32" s="20">
        <f>2.118+0.509-0.608-5.034-3.211</f>
        <v>-6.226</v>
      </c>
      <c r="E32" s="20">
        <f>-3.642+0.788+0.089+5.718+1.527+17.93-25.571-F32-G32-H32</f>
        <v>-0.59600000000000186</v>
      </c>
      <c r="F32" s="20">
        <f>2.265+1.51-0.748-3.254-2.338-H32-G32</f>
        <v>4.6040000000000001</v>
      </c>
      <c r="G32" s="20">
        <f>2.305+0.658-0.956-5.826-3.35-H32</f>
        <v>1.6780000000000017</v>
      </c>
      <c r="H32" s="20">
        <f>4.056+1.367+0.534-7.25-7.554</f>
        <v>-8.8470000000000013</v>
      </c>
      <c r="I32" s="20">
        <f>-7.498+0.109+6.375+4.875-3.971+31.141-24.706-L32-K32-J32</f>
        <v>13.979999999999997</v>
      </c>
      <c r="J32" s="20">
        <f>0.282+0.987+5.889-1.4-13.413-L32-K32</f>
        <v>-14.832999999999998</v>
      </c>
      <c r="K32" s="20">
        <f>-0.157+1.544+7.154-1.139-8.386</f>
        <v>-0.9839999999999991</v>
      </c>
      <c r="L32" s="20">
        <f>2.279+1.947+2.336-0.888+2.488</f>
        <v>8.161999999999999</v>
      </c>
      <c r="M32" s="20">
        <f>-5.283-1.113-2.35+3.443+11.042+80.884-19.881-(-5.384-1.123-3.457+0.783+11.186)</f>
        <v>64.737000000000009</v>
      </c>
      <c r="N32" s="20">
        <f>-5.384-1.123-3.457+0.783+11.186-(-2.007+0.591+2.862+0.184-2.68)</f>
        <v>3.0549999999999993</v>
      </c>
    </row>
    <row r="33" spans="1:17" s="33" customFormat="1">
      <c r="A33" s="20" t="s">
        <v>66</v>
      </c>
      <c r="B33" s="20">
        <v>0</v>
      </c>
      <c r="C33" s="20">
        <v>0</v>
      </c>
      <c r="D33" s="20">
        <v>0</v>
      </c>
      <c r="E33" s="20">
        <v>0</v>
      </c>
      <c r="F33" s="20">
        <v>0</v>
      </c>
      <c r="G33" s="20">
        <v>0</v>
      </c>
      <c r="H33" s="20">
        <v>0</v>
      </c>
      <c r="I33" s="20">
        <v>0</v>
      </c>
      <c r="J33" s="20">
        <v>0</v>
      </c>
      <c r="K33" s="20">
        <v>0</v>
      </c>
      <c r="L33" s="20">
        <v>0</v>
      </c>
      <c r="M33" s="20">
        <v>0</v>
      </c>
      <c r="N33" s="20">
        <v>0</v>
      </c>
    </row>
    <row r="34" spans="1:17" s="33" customFormat="1">
      <c r="A34" s="20" t="s">
        <v>57</v>
      </c>
      <c r="B34" s="29">
        <v>0</v>
      </c>
      <c r="C34" s="29">
        <v>0</v>
      </c>
      <c r="D34" s="29">
        <v>0</v>
      </c>
      <c r="E34" s="29">
        <v>0</v>
      </c>
      <c r="F34" s="29">
        <v>0</v>
      </c>
      <c r="G34" s="29">
        <v>0</v>
      </c>
      <c r="H34" s="29">
        <v>0</v>
      </c>
      <c r="I34" s="29">
        <v>0</v>
      </c>
      <c r="J34" s="29">
        <v>0</v>
      </c>
      <c r="K34" s="29">
        <v>0</v>
      </c>
      <c r="L34" s="29">
        <v>0</v>
      </c>
      <c r="M34" s="29">
        <v>0</v>
      </c>
      <c r="N34" s="29">
        <v>0</v>
      </c>
    </row>
    <row r="35" spans="1:17" s="27" customFormat="1">
      <c r="A35" s="27" t="s">
        <v>67</v>
      </c>
      <c r="B35" s="27">
        <f>42.428-C35-D35</f>
        <v>8.4869999999999948</v>
      </c>
      <c r="C35" s="27">
        <f>33.941-D35</f>
        <v>16.574000000000002</v>
      </c>
      <c r="D35" s="27">
        <v>17.367000000000001</v>
      </c>
      <c r="E35" s="27">
        <f>41.606-F35-G35-H35</f>
        <v>11.816999999999998</v>
      </c>
      <c r="F35" s="27">
        <f>29.789-H35-G35</f>
        <v>12.044000000000002</v>
      </c>
      <c r="G35" s="27">
        <f>17.745-H35</f>
        <v>5.1190000000000015</v>
      </c>
      <c r="H35" s="27">
        <v>12.625999999999999</v>
      </c>
      <c r="I35" s="27">
        <f>40.632-L35-K35-J35</f>
        <v>7.1989999999999981</v>
      </c>
      <c r="J35" s="27">
        <f>33.433-L35-K35</f>
        <v>-3.4239999999999995</v>
      </c>
      <c r="K35" s="27">
        <f>36.857-L35</f>
        <v>11.451999999999998</v>
      </c>
      <c r="L35" s="27">
        <v>25.405000000000001</v>
      </c>
      <c r="M35" s="27">
        <f>77.5-80.492</f>
        <v>-2.9920000000000044</v>
      </c>
      <c r="N35" s="27">
        <f>80.492-3.968</f>
        <v>76.524000000000001</v>
      </c>
    </row>
    <row r="36" spans="1:17" s="33" customFormat="1">
      <c r="A36" s="20" t="s">
        <v>68</v>
      </c>
      <c r="B36" s="29">
        <f>-13.388-0.991-1.31-C36-D36</f>
        <v>-6.58</v>
      </c>
      <c r="C36" s="29">
        <f>-9.109-D36</f>
        <v>-5.43</v>
      </c>
      <c r="D36" s="29">
        <v>-3.6789999999999998</v>
      </c>
      <c r="E36" s="29">
        <f>-14.055-F36-G36-H36</f>
        <v>-4.4499999999999993</v>
      </c>
      <c r="F36" s="29">
        <f>-9.605-H36-G36</f>
        <v>-3.1150000000000007</v>
      </c>
      <c r="G36" s="29">
        <f>-6.49-H36</f>
        <v>-3.4090000000000003</v>
      </c>
      <c r="H36" s="29">
        <v>-3.081</v>
      </c>
      <c r="I36" s="29">
        <f>-15.53-L36-K36-J36</f>
        <v>-1.3219999999999992</v>
      </c>
      <c r="J36" s="29">
        <f>-14.208-L36-K36</f>
        <v>-3.6920000000000002</v>
      </c>
      <c r="K36" s="29">
        <f>-10.516-L36</f>
        <v>-4.9589999999999996</v>
      </c>
      <c r="L36" s="29">
        <v>-5.5570000000000004</v>
      </c>
      <c r="M36" s="29">
        <f>-16.723+10.991</f>
        <v>-5.7319999999999993</v>
      </c>
      <c r="N36" s="29">
        <f>-10.991+9.076</f>
        <v>-1.9149999999999991</v>
      </c>
    </row>
    <row r="37" spans="1:17" s="27" customFormat="1">
      <c r="A37" s="27" t="s">
        <v>69</v>
      </c>
      <c r="B37" s="27">
        <f t="shared" ref="B37:N37" si="6">+B35+B36</f>
        <v>1.9069999999999947</v>
      </c>
      <c r="C37" s="27">
        <f t="shared" si="6"/>
        <v>11.144000000000002</v>
      </c>
      <c r="D37" s="27">
        <f t="shared" si="6"/>
        <v>13.688000000000001</v>
      </c>
      <c r="E37" s="27">
        <f t="shared" si="6"/>
        <v>7.3669999999999991</v>
      </c>
      <c r="F37" s="27">
        <f t="shared" si="6"/>
        <v>8.929000000000002</v>
      </c>
      <c r="G37" s="27">
        <f t="shared" si="6"/>
        <v>1.7100000000000013</v>
      </c>
      <c r="H37" s="27">
        <f t="shared" si="6"/>
        <v>9.5449999999999999</v>
      </c>
      <c r="I37" s="27">
        <f t="shared" si="6"/>
        <v>5.8769999999999989</v>
      </c>
      <c r="J37" s="27">
        <f t="shared" si="6"/>
        <v>-7.1159999999999997</v>
      </c>
      <c r="K37" s="27">
        <f t="shared" si="6"/>
        <v>6.4929999999999986</v>
      </c>
      <c r="L37" s="27">
        <f t="shared" si="6"/>
        <v>19.847999999999999</v>
      </c>
      <c r="M37" s="27">
        <f t="shared" si="6"/>
        <v>-8.7240000000000038</v>
      </c>
      <c r="N37" s="27">
        <f t="shared" si="6"/>
        <v>74.609000000000009</v>
      </c>
    </row>
    <row r="38" spans="1:17">
      <c r="Q38" s="33"/>
    </row>
    <row r="39" spans="1:17" s="35" customFormat="1">
      <c r="A39" s="34" t="s">
        <v>70</v>
      </c>
      <c r="B39" s="20">
        <v>0</v>
      </c>
      <c r="C39" s="20">
        <v>0</v>
      </c>
      <c r="D39" s="20">
        <v>0</v>
      </c>
      <c r="E39" s="20">
        <v>10</v>
      </c>
      <c r="F39" s="20">
        <v>13</v>
      </c>
      <c r="G39" s="20">
        <v>10</v>
      </c>
      <c r="H39" s="20">
        <v>7</v>
      </c>
      <c r="I39" s="20">
        <v>23</v>
      </c>
      <c r="J39" s="20">
        <v>30</v>
      </c>
      <c r="K39" s="20">
        <v>27</v>
      </c>
      <c r="L39" s="20"/>
      <c r="M39" s="20"/>
      <c r="N39" s="20"/>
      <c r="Q39" s="33"/>
    </row>
    <row r="40" spans="1:17" s="35" customFormat="1">
      <c r="A40" s="34" t="s">
        <v>71</v>
      </c>
      <c r="B40" s="20">
        <f>488.6+2.4</f>
        <v>491</v>
      </c>
      <c r="C40" s="20">
        <f>488.6+2.4</f>
        <v>491</v>
      </c>
      <c r="D40" s="20">
        <f>349.5+2.5</f>
        <v>352</v>
      </c>
      <c r="E40" s="20">
        <f>350.353+2.646</f>
        <v>352.99900000000002</v>
      </c>
      <c r="F40" s="20">
        <f>351.2+2.6</f>
        <v>353.8</v>
      </c>
      <c r="G40" s="20">
        <f>352.1+2.3</f>
        <v>354.40000000000003</v>
      </c>
      <c r="H40" s="20">
        <f>351.5+2</f>
        <v>353.5</v>
      </c>
      <c r="I40" s="20">
        <f>352.4+2.1</f>
        <v>354.5</v>
      </c>
      <c r="J40" s="20">
        <f>353.3+1.9</f>
        <v>355.2</v>
      </c>
      <c r="K40" s="20">
        <f>354.2+2.1</f>
        <v>356.3</v>
      </c>
      <c r="L40" s="20"/>
      <c r="M40" s="20"/>
      <c r="N40" s="20"/>
      <c r="Q40" s="33"/>
    </row>
    <row r="41" spans="1:17" s="35" customFormat="1">
      <c r="A41" s="34" t="s">
        <v>72</v>
      </c>
      <c r="B41" s="20">
        <f>B39+B40+175</f>
        <v>666</v>
      </c>
      <c r="C41" s="20">
        <f>C39+C40+175</f>
        <v>666</v>
      </c>
      <c r="D41" s="20">
        <f>D39+D40+155</f>
        <v>507</v>
      </c>
      <c r="E41" s="20">
        <f>E39+E40+155</f>
        <v>517.99900000000002</v>
      </c>
      <c r="F41" s="20">
        <f t="shared" ref="F41:K41" si="7">F39+F40+155</f>
        <v>521.79999999999995</v>
      </c>
      <c r="G41" s="20">
        <f t="shared" si="7"/>
        <v>519.40000000000009</v>
      </c>
      <c r="H41" s="20">
        <f t="shared" si="7"/>
        <v>515.5</v>
      </c>
      <c r="I41" s="20">
        <f t="shared" si="7"/>
        <v>532.5</v>
      </c>
      <c r="J41" s="20">
        <f t="shared" si="7"/>
        <v>540.20000000000005</v>
      </c>
      <c r="K41" s="20">
        <f t="shared" si="7"/>
        <v>538.29999999999995</v>
      </c>
      <c r="L41" s="20"/>
      <c r="M41" s="20"/>
      <c r="N41" s="20"/>
    </row>
    <row r="42" spans="1:17" s="35" customFormat="1">
      <c r="A42" s="34" t="s">
        <v>73</v>
      </c>
      <c r="B42" s="36">
        <v>0</v>
      </c>
      <c r="C42" s="36">
        <v>0</v>
      </c>
      <c r="D42" s="36">
        <v>0</v>
      </c>
      <c r="E42" s="36">
        <v>0</v>
      </c>
      <c r="F42" s="36">
        <v>0</v>
      </c>
      <c r="G42" s="36">
        <v>0</v>
      </c>
      <c r="H42" s="36">
        <v>0</v>
      </c>
      <c r="I42" s="36">
        <v>0</v>
      </c>
      <c r="J42" s="36">
        <v>0</v>
      </c>
      <c r="K42" s="36">
        <v>0</v>
      </c>
      <c r="L42" s="36"/>
      <c r="M42" s="36"/>
      <c r="N42" s="36"/>
    </row>
    <row r="43" spans="1:17">
      <c r="B43" s="35"/>
      <c r="C43" s="35"/>
      <c r="D43" s="35"/>
      <c r="E43" s="35"/>
      <c r="F43" s="35"/>
      <c r="G43" s="35"/>
      <c r="H43" s="35"/>
      <c r="I43" s="35"/>
    </row>
    <row r="44" spans="1:17">
      <c r="A44" s="19" t="s">
        <v>74</v>
      </c>
      <c r="B44" s="28">
        <v>4.3</v>
      </c>
      <c r="C44" s="28">
        <v>4.3</v>
      </c>
      <c r="D44" s="28">
        <v>1.4490000000000001</v>
      </c>
      <c r="E44" s="28">
        <v>4.2560000000000002</v>
      </c>
      <c r="F44" s="28">
        <v>2.085</v>
      </c>
      <c r="G44" s="28">
        <v>4.4690000000000003</v>
      </c>
      <c r="H44" s="28">
        <v>0.23699999999999999</v>
      </c>
      <c r="I44" s="28">
        <v>7.5629999999999997</v>
      </c>
      <c r="J44" s="28">
        <v>4.0940000000000003</v>
      </c>
      <c r="K44" s="28">
        <v>8.42</v>
      </c>
      <c r="L44" s="28"/>
      <c r="M44" s="28"/>
      <c r="N44" s="28"/>
    </row>
    <row r="46" spans="1:17">
      <c r="A46" s="14" t="s">
        <v>75</v>
      </c>
      <c r="B46" s="51">
        <f>1172</f>
        <v>1172</v>
      </c>
      <c r="C46" s="51">
        <f>1172</f>
        <v>1172</v>
      </c>
      <c r="D46" s="51">
        <f>+E46+260.6-248.7</f>
        <v>1008.8999999999999</v>
      </c>
      <c r="E46" s="51">
        <v>997</v>
      </c>
      <c r="F46" s="51">
        <v>980.4</v>
      </c>
      <c r="G46" s="33">
        <f>SUM(G12:J12)</f>
        <v>963.09500000000003</v>
      </c>
      <c r="H46" s="33">
        <f>SUM(H12:K12)</f>
        <v>945.44299999999998</v>
      </c>
      <c r="I46" s="51">
        <v>930</v>
      </c>
      <c r="J46" s="33">
        <f>SUM(J12:M12)</f>
        <v>906.38099999999997</v>
      </c>
      <c r="K46" s="33">
        <f>SUM(K12:N12)</f>
        <v>876.90499999999997</v>
      </c>
    </row>
    <row r="47" spans="1:17">
      <c r="A47" s="14" t="s">
        <v>76</v>
      </c>
      <c r="B47" s="51">
        <v>102.4</v>
      </c>
      <c r="C47" s="51">
        <v>102.4</v>
      </c>
      <c r="D47" s="33">
        <f>+D27</f>
        <v>85.8</v>
      </c>
      <c r="E47" s="33">
        <f>+E27</f>
        <v>84.6</v>
      </c>
      <c r="F47" s="33">
        <f t="shared" ref="F47:K47" si="8">+F27</f>
        <v>80.600000000000009</v>
      </c>
      <c r="G47" s="33">
        <f t="shared" si="8"/>
        <v>78.2</v>
      </c>
      <c r="H47" s="33">
        <f t="shared" si="8"/>
        <v>75.099999999999994</v>
      </c>
      <c r="I47" s="33">
        <f t="shared" si="8"/>
        <v>73.599999999999994</v>
      </c>
      <c r="J47" s="33">
        <f t="shared" si="8"/>
        <v>71.400000000000006</v>
      </c>
      <c r="K47" s="33">
        <f t="shared" si="8"/>
        <v>71.3</v>
      </c>
    </row>
    <row r="48" spans="1:17">
      <c r="A48" s="14" t="s">
        <v>77</v>
      </c>
      <c r="B48" s="33">
        <f>+SUM(B37:E37)</f>
        <v>34.105999999999995</v>
      </c>
      <c r="C48" s="33">
        <f>+SUM(C37:F37)</f>
        <v>41.128</v>
      </c>
      <c r="D48" s="33">
        <f>+SUM(D37:G37)</f>
        <v>31.694000000000003</v>
      </c>
      <c r="E48" s="33">
        <f>+SUM(E37:H37)</f>
        <v>27.551000000000002</v>
      </c>
      <c r="F48" s="33">
        <f t="shared" ref="F48:K48" si="9">+SUM(F37:I37)</f>
        <v>26.061000000000003</v>
      </c>
      <c r="G48" s="33">
        <f t="shared" si="9"/>
        <v>10.015999999999998</v>
      </c>
      <c r="H48" s="33">
        <f t="shared" si="9"/>
        <v>14.798999999999998</v>
      </c>
      <c r="I48" s="33">
        <f t="shared" si="9"/>
        <v>25.101999999999997</v>
      </c>
      <c r="J48" s="33">
        <f t="shared" si="9"/>
        <v>10.500999999999994</v>
      </c>
      <c r="K48" s="33">
        <f t="shared" si="9"/>
        <v>92.225999999999999</v>
      </c>
    </row>
    <row r="50" spans="1:14" s="37" customFormat="1">
      <c r="A50" s="37" t="s">
        <v>78</v>
      </c>
      <c r="B50" s="37">
        <f t="shared" ref="B50:K50" si="10">+SUM(B39:B40)/B47</f>
        <v>4.794921875</v>
      </c>
      <c r="C50" s="37">
        <f t="shared" si="10"/>
        <v>4.794921875</v>
      </c>
      <c r="D50" s="37">
        <f t="shared" si="10"/>
        <v>4.1025641025641031</v>
      </c>
      <c r="E50" s="37">
        <f t="shared" si="10"/>
        <v>4.2907683215130028</v>
      </c>
      <c r="F50" s="37">
        <f t="shared" si="10"/>
        <v>4.550868486352357</v>
      </c>
      <c r="G50" s="37">
        <f t="shared" si="10"/>
        <v>4.6598465473145785</v>
      </c>
      <c r="H50" s="37">
        <f t="shared" si="10"/>
        <v>4.8002663115845543</v>
      </c>
      <c r="I50" s="37">
        <f t="shared" si="10"/>
        <v>5.1290760869565224</v>
      </c>
      <c r="J50" s="37">
        <f t="shared" si="10"/>
        <v>5.3949579831932768</v>
      </c>
      <c r="K50" s="37">
        <f t="shared" si="10"/>
        <v>5.3758765778401125</v>
      </c>
    </row>
    <row r="51" spans="1:14" s="37" customFormat="1">
      <c r="A51" s="37" t="s">
        <v>79</v>
      </c>
      <c r="B51" s="37">
        <f t="shared" ref="B51:K51" si="11">+B41/B47</f>
        <v>6.50390625</v>
      </c>
      <c r="C51" s="37">
        <f t="shared" si="11"/>
        <v>6.50390625</v>
      </c>
      <c r="D51" s="37">
        <f t="shared" si="11"/>
        <v>5.9090909090909092</v>
      </c>
      <c r="E51" s="37">
        <f t="shared" si="11"/>
        <v>6.1229196217494097</v>
      </c>
      <c r="F51" s="37">
        <f t="shared" si="11"/>
        <v>6.4739454094292794</v>
      </c>
      <c r="G51" s="37">
        <f t="shared" si="11"/>
        <v>6.6419437340153458</v>
      </c>
      <c r="H51" s="37">
        <f t="shared" si="11"/>
        <v>6.864181091877497</v>
      </c>
      <c r="I51" s="37">
        <f t="shared" si="11"/>
        <v>7.2350543478260878</v>
      </c>
      <c r="J51" s="37">
        <f t="shared" si="11"/>
        <v>7.5658263305322127</v>
      </c>
      <c r="K51" s="37">
        <f t="shared" si="11"/>
        <v>7.5497896213183724</v>
      </c>
    </row>
    <row r="52" spans="1:14" s="37" customFormat="1">
      <c r="A52" s="37" t="s">
        <v>80</v>
      </c>
      <c r="B52" s="37">
        <f t="shared" ref="B52:K52" si="12">+(B41-B44)/B47</f>
        <v>6.4619140625</v>
      </c>
      <c r="C52" s="37">
        <f t="shared" si="12"/>
        <v>6.4619140625</v>
      </c>
      <c r="D52" s="37">
        <f t="shared" si="12"/>
        <v>5.8922027972027973</v>
      </c>
      <c r="E52" s="37">
        <f t="shared" si="12"/>
        <v>6.0726122931442088</v>
      </c>
      <c r="F52" s="37">
        <f t="shared" si="12"/>
        <v>6.448076923076921</v>
      </c>
      <c r="G52" s="37">
        <f t="shared" si="12"/>
        <v>6.5847953964194375</v>
      </c>
      <c r="H52" s="37">
        <f t="shared" si="12"/>
        <v>6.8610252996005334</v>
      </c>
      <c r="I52" s="37">
        <f t="shared" si="12"/>
        <v>7.1322961956521747</v>
      </c>
      <c r="J52" s="37">
        <f t="shared" si="12"/>
        <v>7.5084873949579825</v>
      </c>
      <c r="K52" s="37">
        <f t="shared" si="12"/>
        <v>7.4316970546984571</v>
      </c>
    </row>
    <row r="53" spans="1:14" s="38" customFormat="1">
      <c r="A53" s="38" t="s">
        <v>81</v>
      </c>
      <c r="B53" s="38">
        <f>+B48/B41</f>
        <v>5.1210210210210202E-2</v>
      </c>
      <c r="C53" s="38">
        <f>+C48/C41</f>
        <v>6.1753753753753755E-2</v>
      </c>
      <c r="D53" s="38">
        <f>+D48/D41</f>
        <v>6.2512820512820519E-2</v>
      </c>
      <c r="E53" s="38">
        <f>+E48/E41</f>
        <v>5.3187361365562486E-2</v>
      </c>
      <c r="F53" s="38">
        <f t="shared" ref="F53:K53" si="13">+F48/F41</f>
        <v>4.9944423150632439E-2</v>
      </c>
      <c r="G53" s="38">
        <f t="shared" si="13"/>
        <v>1.9283788987293025E-2</v>
      </c>
      <c r="H53" s="38">
        <f t="shared" si="13"/>
        <v>2.8708050436469443E-2</v>
      </c>
      <c r="I53" s="38">
        <f t="shared" si="13"/>
        <v>4.7139906103286382E-2</v>
      </c>
      <c r="J53" s="38">
        <f t="shared" si="13"/>
        <v>1.943909663087744E-2</v>
      </c>
      <c r="K53" s="38">
        <f t="shared" si="13"/>
        <v>0.17132825561954301</v>
      </c>
    </row>
    <row r="54" spans="1:14" s="38" customFormat="1">
      <c r="A54" s="39" t="s">
        <v>82</v>
      </c>
      <c r="B54" s="40">
        <v>12.4</v>
      </c>
      <c r="C54" s="40">
        <v>12.4</v>
      </c>
      <c r="D54" s="40">
        <v>12.4</v>
      </c>
      <c r="E54" s="40">
        <v>12.4</v>
      </c>
      <c r="F54" s="40">
        <v>12.4</v>
      </c>
      <c r="G54" s="40">
        <v>12.4</v>
      </c>
      <c r="H54" s="40">
        <v>12.4</v>
      </c>
      <c r="I54" s="40">
        <v>12.4</v>
      </c>
      <c r="J54" s="40">
        <v>12.4</v>
      </c>
      <c r="K54" s="40">
        <v>12.4</v>
      </c>
      <c r="L54" s="39"/>
      <c r="M54" s="39"/>
      <c r="N54" s="39"/>
    </row>
    <row r="55" spans="1:14" s="38" customFormat="1">
      <c r="A55" s="38" t="s">
        <v>83</v>
      </c>
      <c r="B55" s="41" t="str">
        <f>IF(B42=0,IF(B54="","","*"&amp;TEXT(B54,"0.0x")),(B41+B42-B44)/B47)</f>
        <v>*12.4x</v>
      </c>
      <c r="C55" s="41" t="str">
        <f>IF(C42=0,IF(C54="","","*"&amp;TEXT(C54,"0.0x")),(C41+C42-C44)/C47)</f>
        <v>*12.4x</v>
      </c>
      <c r="D55" s="41" t="str">
        <f>IF(D42=0,IF(D54="","","*"&amp;TEXT(D54,"0.0x")),(D41+D42-D44)/D47)</f>
        <v>*12.4x</v>
      </c>
      <c r="E55" s="41" t="str">
        <f>IF(E42=0,IF(E54="","","*"&amp;TEXT(E54,"0.0x")),(E41+E42-E44)/E47)</f>
        <v>*12.4x</v>
      </c>
      <c r="F55" s="41" t="str">
        <f t="shared" ref="F55:K55" si="14">IF(F42=0,IF(F54="","","*"&amp;TEXT(F54,"0.0x")),(F41+F42-F44)/F47)</f>
        <v>*12.4x</v>
      </c>
      <c r="G55" s="41" t="str">
        <f t="shared" si="14"/>
        <v>*12.4x</v>
      </c>
      <c r="H55" s="41" t="str">
        <f t="shared" si="14"/>
        <v>*12.4x</v>
      </c>
      <c r="I55" s="41" t="str">
        <f t="shared" si="14"/>
        <v>*12.4x</v>
      </c>
      <c r="J55" s="41" t="str">
        <f t="shared" si="14"/>
        <v>*12.4x</v>
      </c>
      <c r="K55" s="41" t="str">
        <f t="shared" si="14"/>
        <v>*12.4x</v>
      </c>
      <c r="L55" s="41" t="str">
        <f>IF(L42=0,IF(L54="","",CONCATENATE("* ",L54,"x")),(L41+L42-L44)/L47)</f>
        <v/>
      </c>
      <c r="M55" s="41" t="str">
        <f>IF(M42=0,IF(M54="","",CONCATENATE("* ",M54,"x")),(M41+M42-M44)/M47)</f>
        <v/>
      </c>
      <c r="N55" s="41" t="str">
        <f>IF(N42=0,IF(N54="","",CONCATENATE("* ",N54,"x")),(N41+N42-N44)/N47)</f>
        <v/>
      </c>
    </row>
    <row r="56" spans="1:14">
      <c r="K56" s="42"/>
    </row>
    <row r="57" spans="1:14" ht="80.25" customHeight="1">
      <c r="A57" s="43" t="s">
        <v>84</v>
      </c>
      <c r="B57" s="44" t="s">
        <v>292</v>
      </c>
      <c r="C57" s="44" t="s">
        <v>292</v>
      </c>
      <c r="D57" s="44"/>
      <c r="E57" s="44"/>
      <c r="F57" s="44"/>
      <c r="G57" s="44"/>
      <c r="H57" s="44"/>
      <c r="I57" s="44"/>
      <c r="J57" s="44"/>
      <c r="K57" s="44"/>
      <c r="L57" s="44"/>
      <c r="M57" s="44"/>
      <c r="N57" s="44"/>
    </row>
    <row r="58" spans="1:14">
      <c r="A58" s="45"/>
      <c r="B58" s="42"/>
      <c r="C58" s="42"/>
      <c r="D58" s="42"/>
      <c r="E58" s="42"/>
      <c r="F58" s="42"/>
      <c r="G58" s="42"/>
    </row>
    <row r="59" spans="1:14">
      <c r="A59" s="45"/>
    </row>
  </sheetData>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Y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1" width="10.6640625" style="14" customWidth="1"/>
    <col min="12" max="23" width="10.6640625" style="14" hidden="1" customWidth="1"/>
    <col min="24" max="16384" width="9.109375" style="14"/>
  </cols>
  <sheetData>
    <row r="2" spans="1:25">
      <c r="A2" s="13" t="s">
        <v>44</v>
      </c>
      <c r="B2" s="14" t="s">
        <v>217</v>
      </c>
    </row>
    <row r="3" spans="1:25" s="16" customFormat="1">
      <c r="A3" s="15" t="s">
        <v>45</v>
      </c>
      <c r="B3" s="16" t="s">
        <v>219</v>
      </c>
    </row>
    <row r="4" spans="1:25">
      <c r="A4" s="13" t="s">
        <v>2</v>
      </c>
      <c r="B4" s="14" t="s">
        <v>4</v>
      </c>
    </row>
    <row r="5" spans="1:25">
      <c r="A5" s="13" t="s">
        <v>46</v>
      </c>
    </row>
    <row r="6" spans="1:25">
      <c r="A6" s="13" t="s">
        <v>47</v>
      </c>
    </row>
    <row r="7" spans="1:25">
      <c r="A7" s="13" t="s">
        <v>48</v>
      </c>
      <c r="B7" s="14" t="s">
        <v>237</v>
      </c>
    </row>
    <row r="8" spans="1:25">
      <c r="A8" s="13" t="s">
        <v>347</v>
      </c>
      <c r="B8" s="14" t="s">
        <v>388</v>
      </c>
    </row>
    <row r="9" spans="1:25">
      <c r="A9" s="17"/>
    </row>
    <row r="10" spans="1:25">
      <c r="A10" s="17" t="s">
        <v>49</v>
      </c>
      <c r="B10" s="18">
        <v>44377</v>
      </c>
      <c r="C10" s="18">
        <v>44286</v>
      </c>
      <c r="D10" s="18">
        <v>44196</v>
      </c>
      <c r="E10" s="18">
        <v>44104</v>
      </c>
      <c r="F10" s="18">
        <v>44012</v>
      </c>
      <c r="G10" s="18">
        <v>43921</v>
      </c>
      <c r="H10" s="18">
        <v>43830</v>
      </c>
      <c r="I10" s="18">
        <v>43738</v>
      </c>
      <c r="J10" s="18">
        <v>43646</v>
      </c>
      <c r="K10" s="18">
        <v>43555</v>
      </c>
      <c r="L10" s="18">
        <v>43465</v>
      </c>
      <c r="M10" s="18">
        <v>43373</v>
      </c>
      <c r="N10" s="18">
        <v>43281</v>
      </c>
      <c r="O10" s="18">
        <v>43190</v>
      </c>
      <c r="P10" s="18">
        <v>43100</v>
      </c>
      <c r="Q10" s="18">
        <f>EOMONTH(P10,-3)</f>
        <v>43008</v>
      </c>
      <c r="R10" s="18">
        <f t="shared" ref="R10:W10" si="0">EOMONTH(Q10,-3)</f>
        <v>42916</v>
      </c>
      <c r="S10" s="18">
        <f t="shared" si="0"/>
        <v>42825</v>
      </c>
      <c r="T10" s="18">
        <f t="shared" si="0"/>
        <v>42735</v>
      </c>
      <c r="U10" s="18">
        <f t="shared" si="0"/>
        <v>42643</v>
      </c>
      <c r="V10" s="18">
        <f t="shared" si="0"/>
        <v>42551</v>
      </c>
      <c r="W10" s="18">
        <f t="shared" si="0"/>
        <v>42460</v>
      </c>
    </row>
    <row r="12" spans="1:25">
      <c r="A12" s="19" t="s">
        <v>50</v>
      </c>
      <c r="B12" s="20">
        <v>450.67700000000002</v>
      </c>
      <c r="C12" s="20">
        <v>429.75299999999999</v>
      </c>
      <c r="D12" s="20">
        <v>407.41800000000001</v>
      </c>
      <c r="E12" s="20">
        <v>382.51299999999998</v>
      </c>
      <c r="F12" s="20">
        <v>346.30399999999997</v>
      </c>
      <c r="G12" s="20">
        <v>365.17700000000002</v>
      </c>
      <c r="H12" s="20">
        <v>369.47</v>
      </c>
      <c r="I12" s="20">
        <v>378.09399999999999</v>
      </c>
      <c r="J12" s="20">
        <v>390.38900000000001</v>
      </c>
      <c r="K12" s="20">
        <v>386.07799999999997</v>
      </c>
      <c r="L12" s="20">
        <v>381.48099999999999</v>
      </c>
      <c r="M12" s="20">
        <v>385.721</v>
      </c>
      <c r="N12" s="20">
        <v>397.47199999999998</v>
      </c>
      <c r="O12" s="20">
        <v>341.45100000000002</v>
      </c>
      <c r="P12" s="20">
        <v>314.64100000000002</v>
      </c>
      <c r="Q12" s="20">
        <v>315.39600000000002</v>
      </c>
      <c r="R12" s="20">
        <v>314.89100000000002</v>
      </c>
      <c r="S12" s="20">
        <v>285.72300000000001</v>
      </c>
      <c r="T12" s="20">
        <v>241.6</v>
      </c>
      <c r="U12" s="20">
        <v>210.054</v>
      </c>
      <c r="V12" s="20">
        <v>216.553</v>
      </c>
      <c r="W12" s="20">
        <v>204.61799999999999</v>
      </c>
    </row>
    <row r="13" spans="1:25" s="21" customFormat="1">
      <c r="A13" s="21" t="s">
        <v>51</v>
      </c>
      <c r="B13" s="21">
        <f t="shared" ref="B13:S13" si="1">+B12/F12-1</f>
        <v>0.30139126316762166</v>
      </c>
      <c r="C13" s="21">
        <f t="shared" si="1"/>
        <v>0.17683479518151457</v>
      </c>
      <c r="D13" s="21">
        <f t="shared" si="1"/>
        <v>0.10270928627493436</v>
      </c>
      <c r="E13" s="21">
        <f t="shared" si="1"/>
        <v>1.1687569757784955E-2</v>
      </c>
      <c r="F13" s="21">
        <f t="shared" si="1"/>
        <v>-0.11292582526659312</v>
      </c>
      <c r="G13" s="21">
        <f t="shared" si="1"/>
        <v>-5.4136728847538507E-2</v>
      </c>
      <c r="H13" s="21">
        <f t="shared" si="1"/>
        <v>-3.1485185369651392E-2</v>
      </c>
      <c r="I13" s="21">
        <f t="shared" si="1"/>
        <v>-1.9773359500779075E-2</v>
      </c>
      <c r="J13" s="21">
        <f t="shared" si="1"/>
        <v>-1.7820123178488023E-2</v>
      </c>
      <c r="K13" s="21">
        <f t="shared" si="1"/>
        <v>0.13069810895267531</v>
      </c>
      <c r="L13" s="21">
        <f t="shared" si="1"/>
        <v>0.21243258189492131</v>
      </c>
      <c r="M13" s="21">
        <f t="shared" si="1"/>
        <v>0.22297365851183915</v>
      </c>
      <c r="N13" s="21">
        <f t="shared" si="1"/>
        <v>0.26225265250515251</v>
      </c>
      <c r="O13" s="21">
        <f t="shared" si="1"/>
        <v>0.19504205121743778</v>
      </c>
      <c r="P13" s="21">
        <f t="shared" si="1"/>
        <v>0.30232201986754981</v>
      </c>
      <c r="Q13" s="21">
        <f t="shared" si="1"/>
        <v>0.50149961438487245</v>
      </c>
      <c r="R13" s="21">
        <f t="shared" si="1"/>
        <v>0.4541059232612803</v>
      </c>
      <c r="S13" s="21">
        <f t="shared" si="1"/>
        <v>0.39637275313022324</v>
      </c>
    </row>
    <row r="14" spans="1:25" s="24" customFormat="1">
      <c r="A14" s="22" t="s">
        <v>52</v>
      </c>
      <c r="B14" s="66">
        <v>0.21</v>
      </c>
      <c r="C14" s="66">
        <v>0.11</v>
      </c>
      <c r="D14" s="66">
        <v>0.09</v>
      </c>
      <c r="E14" s="66">
        <v>-0.02</v>
      </c>
      <c r="F14" s="66">
        <v>-0.13</v>
      </c>
      <c r="G14" s="66">
        <v>-0.06</v>
      </c>
      <c r="H14" s="66">
        <v>-0.01</v>
      </c>
      <c r="I14" s="23" t="s">
        <v>3</v>
      </c>
      <c r="J14" s="23" t="s">
        <v>3</v>
      </c>
      <c r="K14" s="23" t="s">
        <v>3</v>
      </c>
      <c r="L14" s="23" t="s">
        <v>3</v>
      </c>
      <c r="M14" s="23" t="s">
        <v>3</v>
      </c>
      <c r="N14" s="23" t="s">
        <v>3</v>
      </c>
      <c r="O14" s="23" t="s">
        <v>3</v>
      </c>
      <c r="P14" s="23" t="s">
        <v>3</v>
      </c>
      <c r="Q14" s="23" t="s">
        <v>3</v>
      </c>
      <c r="R14" s="23" t="s">
        <v>3</v>
      </c>
      <c r="S14" s="23" t="s">
        <v>3</v>
      </c>
      <c r="T14" s="22"/>
      <c r="U14" s="22"/>
      <c r="V14" s="22"/>
      <c r="W14" s="22"/>
      <c r="Y14" s="38"/>
    </row>
    <row r="16" spans="1:25" s="17" customFormat="1">
      <c r="A16" s="25" t="s">
        <v>53</v>
      </c>
      <c r="B16" s="26">
        <v>101.9</v>
      </c>
      <c r="C16" s="26">
        <v>92.96</v>
      </c>
      <c r="D16" s="26">
        <v>79.753</v>
      </c>
      <c r="E16" s="26">
        <v>82.227999999999994</v>
      </c>
      <c r="F16" s="26">
        <v>81.599000000000004</v>
      </c>
      <c r="G16" s="26">
        <v>69.203999999999994</v>
      </c>
      <c r="H16" s="26">
        <v>70.95</v>
      </c>
      <c r="I16" s="26">
        <v>71.361000000000004</v>
      </c>
      <c r="J16" s="26">
        <v>73.775000000000006</v>
      </c>
      <c r="K16" s="26">
        <v>71.542000000000002</v>
      </c>
      <c r="L16" s="26">
        <v>77.340999999999994</v>
      </c>
      <c r="M16" s="26">
        <v>72.52</v>
      </c>
      <c r="N16" s="26">
        <v>78.295000000000002</v>
      </c>
      <c r="O16" s="26">
        <v>57.625999999999998</v>
      </c>
      <c r="P16" s="26">
        <f>228.317-S16-R16-Q16</f>
        <v>57.390000000000008</v>
      </c>
      <c r="Q16" s="26">
        <v>55.23</v>
      </c>
      <c r="R16" s="26">
        <v>62.473999999999997</v>
      </c>
      <c r="S16" s="26">
        <v>53.222999999999999</v>
      </c>
      <c r="T16" s="26">
        <v>46.5</v>
      </c>
      <c r="U16" s="26">
        <v>41.21</v>
      </c>
      <c r="V16" s="26">
        <v>43.524000000000001</v>
      </c>
      <c r="W16" s="26">
        <v>37.405000000000001</v>
      </c>
      <c r="Y16" s="14"/>
    </row>
    <row r="17" spans="1:25" s="21" customFormat="1">
      <c r="A17" s="21" t="s">
        <v>54</v>
      </c>
      <c r="B17" s="21">
        <f t="shared" ref="B17" si="2">+B16/B12</f>
        <v>0.22610428311185174</v>
      </c>
      <c r="C17" s="21">
        <f t="shared" ref="C17:D17" si="3">+C16/C12</f>
        <v>0.21631029917184988</v>
      </c>
      <c r="D17" s="21">
        <f t="shared" si="3"/>
        <v>0.19575227407723764</v>
      </c>
      <c r="E17" s="21">
        <f t="shared" ref="E17:F17" si="4">+E16/E12</f>
        <v>0.21496785730158191</v>
      </c>
      <c r="F17" s="21">
        <f t="shared" si="4"/>
        <v>0.23562823415265202</v>
      </c>
      <c r="G17" s="21">
        <f t="shared" ref="G17:H17" si="5">+G16/G12</f>
        <v>0.18950810155075482</v>
      </c>
      <c r="H17" s="21">
        <f t="shared" si="5"/>
        <v>0.192031829377216</v>
      </c>
      <c r="I17" s="21">
        <f t="shared" ref="I17:J17" si="6">+I16/I12</f>
        <v>0.18873877924537286</v>
      </c>
      <c r="J17" s="21">
        <f t="shared" si="6"/>
        <v>0.18897817305303172</v>
      </c>
      <c r="K17" s="21">
        <f t="shared" ref="K17:P17" si="7">+K16/K12</f>
        <v>0.18530452395629901</v>
      </c>
      <c r="L17" s="21">
        <f t="shared" si="7"/>
        <v>0.20273879957324217</v>
      </c>
      <c r="M17" s="21">
        <f t="shared" si="7"/>
        <v>0.18801154202130554</v>
      </c>
      <c r="N17" s="21">
        <f t="shared" si="7"/>
        <v>0.19698242895097015</v>
      </c>
      <c r="O17" s="21">
        <f t="shared" si="7"/>
        <v>0.16876799306489071</v>
      </c>
      <c r="P17" s="21">
        <f t="shared" si="7"/>
        <v>0.18239835240798244</v>
      </c>
      <c r="Q17" s="21">
        <f t="shared" ref="Q17:W17" si="8">+Q16/Q12</f>
        <v>0.17511319103603087</v>
      </c>
      <c r="R17" s="21">
        <f t="shared" si="8"/>
        <v>0.1983988110171456</v>
      </c>
      <c r="S17" s="21">
        <f t="shared" si="8"/>
        <v>0.18627481861803213</v>
      </c>
      <c r="T17" s="21">
        <f t="shared" si="8"/>
        <v>0.19246688741721854</v>
      </c>
      <c r="U17" s="21">
        <f t="shared" si="8"/>
        <v>0.19618764698601313</v>
      </c>
      <c r="V17" s="21">
        <f t="shared" si="8"/>
        <v>0.20098544005393598</v>
      </c>
      <c r="W17" s="21">
        <f t="shared" si="8"/>
        <v>0.18280405438426728</v>
      </c>
    </row>
    <row r="18" spans="1:25" s="24" customFormat="1"/>
    <row r="19" spans="1:25"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row>
    <row r="20" spans="1:25"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row>
    <row r="21" spans="1:25"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row>
    <row r="22" spans="1:25" s="17" customFormat="1">
      <c r="A22" s="17" t="s">
        <v>58</v>
      </c>
      <c r="B22" s="27">
        <f t="shared" ref="B22" si="9">SUM(B16,B19:B21)</f>
        <v>101.9</v>
      </c>
      <c r="C22" s="27">
        <f t="shared" ref="C22:D22" si="10">SUM(C16,C19:C21)</f>
        <v>92.96</v>
      </c>
      <c r="D22" s="27">
        <f t="shared" si="10"/>
        <v>79.753</v>
      </c>
      <c r="E22" s="27">
        <f t="shared" ref="E22:F22" si="11">SUM(E16,E19:E21)</f>
        <v>82.227999999999994</v>
      </c>
      <c r="F22" s="27">
        <f t="shared" si="11"/>
        <v>81.599000000000004</v>
      </c>
      <c r="G22" s="27">
        <f t="shared" ref="G22:H22" si="12">SUM(G16,G19:G21)</f>
        <v>69.203999999999994</v>
      </c>
      <c r="H22" s="27">
        <f t="shared" si="12"/>
        <v>70.95</v>
      </c>
      <c r="I22" s="27">
        <f t="shared" ref="I22:J22" si="13">SUM(I16,I19:I21)</f>
        <v>71.361000000000004</v>
      </c>
      <c r="J22" s="27">
        <f t="shared" si="13"/>
        <v>73.775000000000006</v>
      </c>
      <c r="K22" s="27">
        <f t="shared" ref="K22:P22" si="14">SUM(K16,K19:K21)</f>
        <v>71.542000000000002</v>
      </c>
      <c r="L22" s="27">
        <f t="shared" si="14"/>
        <v>77.340999999999994</v>
      </c>
      <c r="M22" s="27">
        <f t="shared" si="14"/>
        <v>72.52</v>
      </c>
      <c r="N22" s="27">
        <f t="shared" si="14"/>
        <v>78.295000000000002</v>
      </c>
      <c r="O22" s="27">
        <f t="shared" si="14"/>
        <v>57.625999999999998</v>
      </c>
      <c r="P22" s="27">
        <f t="shared" si="14"/>
        <v>57.390000000000008</v>
      </c>
      <c r="Q22" s="27">
        <f t="shared" ref="Q22:W22" si="15">SUM(Q16,Q19:Q21)</f>
        <v>55.23</v>
      </c>
      <c r="R22" s="27">
        <f t="shared" si="15"/>
        <v>62.473999999999997</v>
      </c>
      <c r="S22" s="27">
        <f t="shared" si="15"/>
        <v>53.222999999999999</v>
      </c>
      <c r="T22" s="27">
        <f t="shared" si="15"/>
        <v>46.5</v>
      </c>
      <c r="U22" s="27">
        <f t="shared" si="15"/>
        <v>41.21</v>
      </c>
      <c r="V22" s="27">
        <f t="shared" si="15"/>
        <v>43.524000000000001</v>
      </c>
      <c r="W22" s="27">
        <f t="shared" si="15"/>
        <v>37.405000000000001</v>
      </c>
    </row>
    <row r="23" spans="1:25" s="17" customFormat="1">
      <c r="B23" s="21"/>
      <c r="C23" s="21"/>
      <c r="D23" s="21"/>
      <c r="E23" s="21"/>
      <c r="F23" s="21"/>
      <c r="G23" s="21"/>
      <c r="H23" s="21"/>
      <c r="I23" s="21"/>
      <c r="J23" s="21"/>
      <c r="K23" s="21"/>
      <c r="L23" s="21"/>
      <c r="M23" s="21"/>
      <c r="N23" s="27"/>
      <c r="O23" s="27"/>
      <c r="P23" s="27"/>
      <c r="Q23" s="27"/>
      <c r="R23" s="27"/>
      <c r="S23" s="27"/>
      <c r="T23" s="27"/>
      <c r="U23" s="27"/>
      <c r="V23" s="27"/>
      <c r="W23" s="27"/>
    </row>
    <row r="24" spans="1:25" s="17" customFormat="1">
      <c r="A24" s="17" t="s">
        <v>59</v>
      </c>
      <c r="B24" s="27">
        <f t="shared" ref="B24:T24" si="16">SUM(B22:E22)</f>
        <v>356.84100000000001</v>
      </c>
      <c r="C24" s="27">
        <f t="shared" si="16"/>
        <v>336.53999999999996</v>
      </c>
      <c r="D24" s="27">
        <f t="shared" si="16"/>
        <v>312.78399999999999</v>
      </c>
      <c r="E24" s="27">
        <f t="shared" si="16"/>
        <v>303.98099999999999</v>
      </c>
      <c r="F24" s="27">
        <f t="shared" si="16"/>
        <v>293.11399999999998</v>
      </c>
      <c r="G24" s="27">
        <f t="shared" si="16"/>
        <v>285.28999999999996</v>
      </c>
      <c r="H24" s="27">
        <f t="shared" si="16"/>
        <v>287.62800000000004</v>
      </c>
      <c r="I24" s="27">
        <f t="shared" si="16"/>
        <v>294.01900000000001</v>
      </c>
      <c r="J24" s="27">
        <f t="shared" si="16"/>
        <v>295.178</v>
      </c>
      <c r="K24" s="27">
        <f t="shared" si="16"/>
        <v>299.69799999999998</v>
      </c>
      <c r="L24" s="27">
        <f t="shared" si="16"/>
        <v>285.78199999999998</v>
      </c>
      <c r="M24" s="27">
        <f t="shared" si="16"/>
        <v>265.83100000000002</v>
      </c>
      <c r="N24" s="27">
        <f t="shared" si="16"/>
        <v>248.541</v>
      </c>
      <c r="O24" s="27">
        <f t="shared" si="16"/>
        <v>232.72</v>
      </c>
      <c r="P24" s="27">
        <f t="shared" si="16"/>
        <v>228.31700000000001</v>
      </c>
      <c r="Q24" s="27">
        <f t="shared" si="16"/>
        <v>217.42699999999999</v>
      </c>
      <c r="R24" s="27">
        <f t="shared" si="16"/>
        <v>203.40700000000001</v>
      </c>
      <c r="S24" s="27">
        <f t="shared" si="16"/>
        <v>184.45699999999999</v>
      </c>
      <c r="T24" s="27">
        <f t="shared" si="16"/>
        <v>168.63900000000001</v>
      </c>
      <c r="U24" s="27"/>
      <c r="V24" s="27"/>
      <c r="W24" s="27"/>
      <c r="Y24" s="14"/>
    </row>
    <row r="25" spans="1:25" s="24" customFormat="1">
      <c r="A25" s="19" t="s">
        <v>60</v>
      </c>
      <c r="B25" s="28">
        <f>429.9-B24</f>
        <v>73.058999999999969</v>
      </c>
      <c r="C25" s="28">
        <f>404.233-C24</f>
        <v>67.69300000000004</v>
      </c>
      <c r="D25" s="28">
        <f>360.501-D24</f>
        <v>47.716999999999985</v>
      </c>
      <c r="E25" s="28">
        <f>342.921-E24</f>
        <v>38.94</v>
      </c>
      <c r="F25" s="28">
        <f>327.705-F24</f>
        <v>34.591000000000008</v>
      </c>
      <c r="G25" s="28">
        <f>318.097-G24</f>
        <v>32.807000000000016</v>
      </c>
      <c r="H25" s="28">
        <f>321.518-H24</f>
        <v>33.88999999999993</v>
      </c>
      <c r="I25" s="28">
        <f>323.6-I24</f>
        <v>29.581000000000017</v>
      </c>
      <c r="J25" s="28">
        <f>324.3-J24</f>
        <v>29.122000000000014</v>
      </c>
      <c r="K25" s="28">
        <f>320-K24</f>
        <v>20.302000000000021</v>
      </c>
      <c r="L25" s="28">
        <v>39.200000000000003</v>
      </c>
      <c r="M25" s="28">
        <v>32.299999999999997</v>
      </c>
      <c r="N25" s="28">
        <v>0</v>
      </c>
      <c r="O25" s="28">
        <v>0</v>
      </c>
      <c r="P25" s="28">
        <f>239-P24</f>
        <v>10.682999999999993</v>
      </c>
      <c r="Q25" s="28">
        <v>0</v>
      </c>
      <c r="R25" s="28">
        <v>0</v>
      </c>
      <c r="S25" s="28">
        <v>0</v>
      </c>
      <c r="T25" s="28">
        <v>0</v>
      </c>
      <c r="U25" s="28">
        <v>0</v>
      </c>
      <c r="V25" s="28">
        <v>0</v>
      </c>
      <c r="W25" s="28">
        <v>0</v>
      </c>
    </row>
    <row r="26" spans="1:25" s="24" customFormat="1">
      <c r="A26" s="19" t="s">
        <v>61</v>
      </c>
      <c r="B26" s="29">
        <v>0</v>
      </c>
      <c r="C26" s="29">
        <v>0</v>
      </c>
      <c r="D26" s="29">
        <v>0</v>
      </c>
      <c r="E26" s="29">
        <v>0</v>
      </c>
      <c r="F26" s="29">
        <v>0</v>
      </c>
      <c r="G26" s="29">
        <v>0</v>
      </c>
      <c r="H26" s="29">
        <v>0</v>
      </c>
      <c r="I26" s="29">
        <v>0</v>
      </c>
      <c r="J26" s="29">
        <v>0</v>
      </c>
      <c r="K26" s="29">
        <v>0</v>
      </c>
      <c r="L26" s="29">
        <f>326.2-L25-L24</f>
        <v>1.2180000000000177</v>
      </c>
      <c r="M26" s="29">
        <f>310.012-M25-M24</f>
        <v>11.880999999999972</v>
      </c>
      <c r="N26" s="29">
        <f>308.649-N25-N24</f>
        <v>60.108000000000004</v>
      </c>
      <c r="O26" s="29">
        <f>246.774-O25-O24</f>
        <v>14.054000000000002</v>
      </c>
      <c r="P26" s="29">
        <f>13+30</f>
        <v>43</v>
      </c>
      <c r="Q26" s="29">
        <v>0</v>
      </c>
      <c r="R26" s="29">
        <v>0</v>
      </c>
      <c r="S26" s="29">
        <v>0</v>
      </c>
      <c r="T26" s="29">
        <v>0</v>
      </c>
      <c r="U26" s="30"/>
      <c r="V26" s="30"/>
      <c r="W26" s="30"/>
    </row>
    <row r="27" spans="1:25" s="32" customFormat="1">
      <c r="A27" s="17" t="s">
        <v>62</v>
      </c>
      <c r="B27" s="27">
        <f t="shared" ref="B27" si="17">B24+B25+B26</f>
        <v>429.9</v>
      </c>
      <c r="C27" s="27">
        <f t="shared" ref="C27:D27" si="18">C24+C25+C26</f>
        <v>404.233</v>
      </c>
      <c r="D27" s="27">
        <f t="shared" si="18"/>
        <v>360.50099999999998</v>
      </c>
      <c r="E27" s="27">
        <f t="shared" ref="E27:F27" si="19">E24+E25+E26</f>
        <v>342.92099999999999</v>
      </c>
      <c r="F27" s="27">
        <f t="shared" si="19"/>
        <v>327.70499999999998</v>
      </c>
      <c r="G27" s="27">
        <f t="shared" ref="G27:I27" si="20">G24+G25+G26</f>
        <v>318.09699999999998</v>
      </c>
      <c r="H27" s="27">
        <f t="shared" si="20"/>
        <v>321.51799999999997</v>
      </c>
      <c r="I27" s="27">
        <f t="shared" si="20"/>
        <v>323.60000000000002</v>
      </c>
      <c r="J27" s="27">
        <f t="shared" ref="J27:O27" si="21">J24+J25+J26</f>
        <v>324.3</v>
      </c>
      <c r="K27" s="27">
        <f t="shared" si="21"/>
        <v>320</v>
      </c>
      <c r="L27" s="27">
        <f t="shared" si="21"/>
        <v>326.2</v>
      </c>
      <c r="M27" s="27">
        <f t="shared" si="21"/>
        <v>310.012</v>
      </c>
      <c r="N27" s="27">
        <f t="shared" si="21"/>
        <v>308.649</v>
      </c>
      <c r="O27" s="27">
        <f t="shared" si="21"/>
        <v>246.774</v>
      </c>
      <c r="P27" s="27">
        <f>SUM(P24:P26)</f>
        <v>282</v>
      </c>
      <c r="Q27" s="27">
        <f>SUM(Q24:Q26)</f>
        <v>217.42699999999999</v>
      </c>
      <c r="R27" s="27">
        <f>SUM(R24:R26)</f>
        <v>203.40700000000001</v>
      </c>
      <c r="S27" s="27">
        <f>SUM(S24:S26)</f>
        <v>184.45699999999999</v>
      </c>
      <c r="T27" s="27">
        <f>SUM(T24:T26)</f>
        <v>168.63900000000001</v>
      </c>
      <c r="U27" s="31"/>
      <c r="V27" s="31"/>
      <c r="W27" s="31"/>
    </row>
    <row r="28" spans="1:25" s="24" customFormat="1"/>
    <row r="29" spans="1:25" s="17" customFormat="1">
      <c r="A29" s="17" t="s">
        <v>58</v>
      </c>
      <c r="B29" s="27">
        <f t="shared" ref="B29" si="22">B22</f>
        <v>101.9</v>
      </c>
      <c r="C29" s="27">
        <f t="shared" ref="C29:D29" si="23">C22</f>
        <v>92.96</v>
      </c>
      <c r="D29" s="27">
        <f t="shared" si="23"/>
        <v>79.753</v>
      </c>
      <c r="E29" s="27">
        <f t="shared" ref="E29:F29" si="24">E22</f>
        <v>82.227999999999994</v>
      </c>
      <c r="F29" s="27">
        <f t="shared" si="24"/>
        <v>81.599000000000004</v>
      </c>
      <c r="G29" s="27">
        <f t="shared" ref="G29:W29" si="25">G22</f>
        <v>69.203999999999994</v>
      </c>
      <c r="H29" s="27">
        <f t="shared" si="25"/>
        <v>70.95</v>
      </c>
      <c r="I29" s="27">
        <f t="shared" ref="I29" si="26">I22</f>
        <v>71.361000000000004</v>
      </c>
      <c r="J29" s="27">
        <f t="shared" si="25"/>
        <v>73.775000000000006</v>
      </c>
      <c r="K29" s="27">
        <f t="shared" si="25"/>
        <v>71.542000000000002</v>
      </c>
      <c r="L29" s="27">
        <f t="shared" si="25"/>
        <v>77.340999999999994</v>
      </c>
      <c r="M29" s="27">
        <f t="shared" si="25"/>
        <v>72.52</v>
      </c>
      <c r="N29" s="27">
        <f t="shared" si="25"/>
        <v>78.295000000000002</v>
      </c>
      <c r="O29" s="27">
        <f t="shared" si="25"/>
        <v>57.625999999999998</v>
      </c>
      <c r="P29" s="27">
        <f t="shared" si="25"/>
        <v>57.390000000000008</v>
      </c>
      <c r="Q29" s="27">
        <f t="shared" si="25"/>
        <v>55.23</v>
      </c>
      <c r="R29" s="27">
        <f t="shared" si="25"/>
        <v>62.473999999999997</v>
      </c>
      <c r="S29" s="27">
        <f t="shared" si="25"/>
        <v>53.222999999999999</v>
      </c>
      <c r="T29" s="27">
        <f t="shared" si="25"/>
        <v>46.5</v>
      </c>
      <c r="U29" s="27">
        <f t="shared" si="25"/>
        <v>41.21</v>
      </c>
      <c r="V29" s="27">
        <f t="shared" si="25"/>
        <v>43.524000000000001</v>
      </c>
      <c r="W29" s="27">
        <f t="shared" si="25"/>
        <v>37.405000000000001</v>
      </c>
    </row>
    <row r="30" spans="1:25" s="33" customFormat="1">
      <c r="A30" s="20" t="s">
        <v>63</v>
      </c>
      <c r="B30" s="20">
        <f>-23.679+1.404</f>
        <v>-22.274999999999999</v>
      </c>
      <c r="C30" s="20">
        <f>-23.245+1.254</f>
        <v>-21.991</v>
      </c>
      <c r="D30" s="20">
        <f>-68.995-E30-F30-G30</f>
        <v>-17.903000000000006</v>
      </c>
      <c r="E30" s="20">
        <f>-16.897+0.956</f>
        <v>-15.940999999999999</v>
      </c>
      <c r="F30" s="20">
        <f>-17.615+1.194</f>
        <v>-16.420999999999999</v>
      </c>
      <c r="G30" s="20">
        <f>-19.778+1.048</f>
        <v>-18.729999999999997</v>
      </c>
      <c r="H30" s="20">
        <f>-84.71-I30-J30-K30</f>
        <v>-18.702999999999999</v>
      </c>
      <c r="I30" s="20">
        <f>-15.829+1.19</f>
        <v>-14.639000000000001</v>
      </c>
      <c r="J30" s="20">
        <f>-28.583+1.113</f>
        <v>-27.47</v>
      </c>
      <c r="K30" s="20">
        <f>-24.999+1.101</f>
        <v>-23.898</v>
      </c>
      <c r="L30" s="20">
        <f>-86.468-M30-N30-O30</f>
        <v>-29.552000000000007</v>
      </c>
      <c r="M30" s="20">
        <f>-22.2+0.409</f>
        <v>-21.791</v>
      </c>
      <c r="N30" s="20">
        <f>-21.866+0.597</f>
        <v>-21.268999999999998</v>
      </c>
      <c r="O30" s="20">
        <f>-14.794+0.938</f>
        <v>-13.856</v>
      </c>
      <c r="P30" s="20">
        <f>-48.889-Q30-R30-S30</f>
        <v>-8.3879999999999963</v>
      </c>
      <c r="Q30" s="20">
        <f>-44.63+4.129-R30-S30</f>
        <v>-14.028000000000004</v>
      </c>
      <c r="R30" s="20">
        <f>-29.136+2.663-S30</f>
        <v>-13.917</v>
      </c>
      <c r="S30" s="20">
        <f>-13.818+1.262</f>
        <v>-12.555999999999999</v>
      </c>
      <c r="T30" s="20"/>
      <c r="U30" s="20"/>
      <c r="V30" s="20"/>
      <c r="W30" s="20"/>
    </row>
    <row r="31" spans="1:25" s="33" customFormat="1">
      <c r="A31" s="20" t="s">
        <v>64</v>
      </c>
      <c r="B31" s="20">
        <f>-4.065-7.841</f>
        <v>-11.906000000000001</v>
      </c>
      <c r="C31" s="20">
        <f>-5.17-4.279</f>
        <v>-9.4489999999999998</v>
      </c>
      <c r="D31" s="20">
        <f>-49.495-E31-F31-G31</f>
        <v>-27.090999999999998</v>
      </c>
      <c r="E31" s="20">
        <f>-9.833+2.907</f>
        <v>-6.9260000000000002</v>
      </c>
      <c r="F31" s="20">
        <f>-4.45-3.542</f>
        <v>-7.992</v>
      </c>
      <c r="G31" s="20">
        <f>-0.111-7.375</f>
        <v>-7.4859999999999998</v>
      </c>
      <c r="H31" s="20">
        <f>-88.856-I31-J31-K31</f>
        <v>-9.5830000000000126</v>
      </c>
      <c r="I31" s="20">
        <f>-0.709-5.129</f>
        <v>-5.8379999999999992</v>
      </c>
      <c r="J31" s="20">
        <f>-1.684-2.407</f>
        <v>-4.0910000000000002</v>
      </c>
      <c r="K31" s="20">
        <f>-66.05-3.294</f>
        <v>-69.343999999999994</v>
      </c>
      <c r="L31" s="20">
        <f>-23.129-M31-N31-O31</f>
        <v>-5.2040000000000006</v>
      </c>
      <c r="M31" s="20">
        <f>-2.234-7.267</f>
        <v>-9.5010000000000012</v>
      </c>
      <c r="N31" s="20">
        <f>-5.737+3.527</f>
        <v>-2.21</v>
      </c>
      <c r="O31" s="20">
        <f>3.406-9.62</f>
        <v>-6.2139999999999986</v>
      </c>
      <c r="P31" s="20">
        <f>-22.786-Q31-R31-S31</f>
        <v>-4.8840000000000003</v>
      </c>
      <c r="Q31" s="20">
        <f>-12.324-5.578-R31-S31</f>
        <v>-6.5650000000000013</v>
      </c>
      <c r="R31" s="20">
        <f>-10.326-1.011-S31</f>
        <v>-5.5969999999999995</v>
      </c>
      <c r="S31" s="20">
        <f>-6.516+0.776</f>
        <v>-5.74</v>
      </c>
      <c r="T31" s="20"/>
      <c r="U31" s="20"/>
      <c r="V31" s="20"/>
      <c r="W31" s="20"/>
    </row>
    <row r="32" spans="1:25" s="33" customFormat="1">
      <c r="A32" s="20" t="s">
        <v>65</v>
      </c>
      <c r="B32" s="20">
        <f>-3.214-12.295-6.763-1.496</f>
        <v>-23.767999999999997</v>
      </c>
      <c r="C32" s="20">
        <v>-22.382000000000001</v>
      </c>
      <c r="D32" s="20">
        <f>5.621+2.954+25.251-3.53-E32-F32-G32</f>
        <v>13.546999999999997</v>
      </c>
      <c r="E32" s="20">
        <v>-21.507000000000001</v>
      </c>
      <c r="F32" s="20">
        <f>13.939+0.728+7.653-1.617</f>
        <v>20.702999999999999</v>
      </c>
      <c r="G32" s="20">
        <v>17.553000000000001</v>
      </c>
      <c r="H32" s="20">
        <f>19.474+10.635-15.24-6.574-I32-J32-K32</f>
        <v>10.515999999999998</v>
      </c>
      <c r="I32" s="20">
        <v>2.3050000000000002</v>
      </c>
      <c r="J32" s="20">
        <f>-0.475-2.338-52.406+7.88</f>
        <v>-47.338999999999999</v>
      </c>
      <c r="K32" s="20">
        <v>42.813000000000002</v>
      </c>
      <c r="L32" s="20">
        <f>-26.955-12.419+12.702-3.474-M32-N32-O32</f>
        <v>21.559000000000001</v>
      </c>
      <c r="M32" s="20">
        <v>6.12</v>
      </c>
      <c r="N32" s="20">
        <f>-17.391-6.337-14.526-0.819</f>
        <v>-39.073</v>
      </c>
      <c r="O32" s="20">
        <v>-18.751999999999999</v>
      </c>
      <c r="P32" s="20">
        <f>-3.581-13.349+8.074-1.335-Q32-R32-S32</f>
        <v>14.361000000000001</v>
      </c>
      <c r="Q32" s="20">
        <v>13.362</v>
      </c>
      <c r="R32" s="20">
        <v>-20.58</v>
      </c>
      <c r="S32" s="20">
        <v>-17.334</v>
      </c>
      <c r="T32" s="20"/>
      <c r="U32" s="20"/>
      <c r="V32" s="20"/>
      <c r="W32" s="20"/>
    </row>
    <row r="33" spans="1:25"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c r="U33" s="20"/>
      <c r="V33" s="20"/>
      <c r="W33" s="20"/>
    </row>
    <row r="34" spans="1:25"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c r="U34" s="29"/>
      <c r="V34" s="29"/>
      <c r="W34" s="29"/>
    </row>
    <row r="35" spans="1:25" s="27" customFormat="1">
      <c r="A35" s="27" t="s">
        <v>67</v>
      </c>
      <c r="B35" s="27">
        <v>32.243000000000002</v>
      </c>
      <c r="C35" s="27">
        <v>26.436</v>
      </c>
      <c r="D35" s="27">
        <f>199.926-E35-F35-G35</f>
        <v>50.984999999999999</v>
      </c>
      <c r="E35" s="27">
        <v>28.605</v>
      </c>
      <c r="F35" s="27">
        <v>67.722999999999999</v>
      </c>
      <c r="G35" s="27">
        <v>52.613</v>
      </c>
      <c r="H35" s="27">
        <f>75.588-I35-J35-K35</f>
        <v>33.001999999999995</v>
      </c>
      <c r="I35" s="27">
        <v>41.558</v>
      </c>
      <c r="J35" s="27">
        <v>-12.997</v>
      </c>
      <c r="K35" s="27">
        <v>14.025</v>
      </c>
      <c r="L35" s="27">
        <f>105.144-M35-N35-O35</f>
        <v>55.865000000000002</v>
      </c>
      <c r="M35" s="27">
        <f>35.063</f>
        <v>35.063000000000002</v>
      </c>
      <c r="N35" s="27">
        <v>3.8809999999999998</v>
      </c>
      <c r="O35" s="27">
        <v>10.335000000000001</v>
      </c>
      <c r="P35" s="27">
        <f>112.507-S35-R35-Q35</f>
        <v>41.434000000000012</v>
      </c>
      <c r="Q35" s="27">
        <v>42.509</v>
      </c>
      <c r="R35" s="27">
        <v>15.112</v>
      </c>
      <c r="S35" s="27">
        <v>13.452</v>
      </c>
      <c r="T35" s="27">
        <v>19.911000000000001</v>
      </c>
      <c r="U35" s="27">
        <v>21.315000000000001</v>
      </c>
      <c r="V35" s="27">
        <v>20.414999999999999</v>
      </c>
      <c r="W35" s="27">
        <v>-0.81699999999999995</v>
      </c>
    </row>
    <row r="36" spans="1:25" s="33" customFormat="1">
      <c r="A36" s="20" t="s">
        <v>68</v>
      </c>
      <c r="B36" s="29">
        <v>-13.874000000000001</v>
      </c>
      <c r="C36" s="29">
        <v>-11.489000000000001</v>
      </c>
      <c r="D36" s="29">
        <f>-23.034-E36-F36-G36</f>
        <v>-10.087</v>
      </c>
      <c r="E36" s="29">
        <v>-5.3079999999999998</v>
      </c>
      <c r="F36" s="29">
        <v>-2.5840000000000001</v>
      </c>
      <c r="G36" s="29">
        <v>-5.0549999999999997</v>
      </c>
      <c r="H36" s="29">
        <f>-28.311-I36-J36-K36</f>
        <v>-8.3890000000000029</v>
      </c>
      <c r="I36" s="29">
        <v>-7.4429999999999996</v>
      </c>
      <c r="J36" s="29">
        <v>-7.5419999999999998</v>
      </c>
      <c r="K36" s="29">
        <v>-4.9370000000000003</v>
      </c>
      <c r="L36" s="29">
        <f>-28.078-M36-N36-O36</f>
        <v>-7.7519999999999989</v>
      </c>
      <c r="M36" s="29">
        <v>-6.6929999999999996</v>
      </c>
      <c r="N36" s="29">
        <v>-10.744999999999999</v>
      </c>
      <c r="O36" s="29">
        <v>-2.8879999999999999</v>
      </c>
      <c r="P36" s="29">
        <f>-22.234-Q36-R36-S36</f>
        <v>-7.6430000000000025</v>
      </c>
      <c r="Q36" s="29">
        <v>-6.11</v>
      </c>
      <c r="R36" s="29">
        <v>-3.66</v>
      </c>
      <c r="S36" s="29">
        <v>-4.8209999999999997</v>
      </c>
      <c r="T36" s="29">
        <v>-3.7959999999999994</v>
      </c>
      <c r="U36" s="29">
        <v>-3.5979999999999999</v>
      </c>
      <c r="V36" s="29">
        <v>-3.4460000000000002</v>
      </c>
      <c r="W36" s="29">
        <v>-1.3779999999999999</v>
      </c>
    </row>
    <row r="37" spans="1:25" s="27" customFormat="1">
      <c r="A37" s="27" t="s">
        <v>69</v>
      </c>
      <c r="B37" s="27">
        <f t="shared" ref="B37:P37" si="27">+B35+B36</f>
        <v>18.369</v>
      </c>
      <c r="C37" s="27">
        <f t="shared" si="27"/>
        <v>14.946999999999999</v>
      </c>
      <c r="D37" s="27">
        <f t="shared" si="27"/>
        <v>40.897999999999996</v>
      </c>
      <c r="E37" s="27">
        <f t="shared" si="27"/>
        <v>23.297000000000001</v>
      </c>
      <c r="F37" s="27">
        <f t="shared" si="27"/>
        <v>65.138999999999996</v>
      </c>
      <c r="G37" s="27">
        <f t="shared" si="27"/>
        <v>47.558</v>
      </c>
      <c r="H37" s="27">
        <f t="shared" si="27"/>
        <v>24.612999999999992</v>
      </c>
      <c r="I37" s="27">
        <f t="shared" si="27"/>
        <v>34.115000000000002</v>
      </c>
      <c r="J37" s="27">
        <f t="shared" si="27"/>
        <v>-20.539000000000001</v>
      </c>
      <c r="K37" s="27">
        <f t="shared" si="27"/>
        <v>9.088000000000001</v>
      </c>
      <c r="L37" s="27">
        <f t="shared" si="27"/>
        <v>48.113</v>
      </c>
      <c r="M37" s="27">
        <f t="shared" si="27"/>
        <v>28.370000000000005</v>
      </c>
      <c r="N37" s="27">
        <f t="shared" si="27"/>
        <v>-6.863999999999999</v>
      </c>
      <c r="O37" s="27">
        <f t="shared" si="27"/>
        <v>7.447000000000001</v>
      </c>
      <c r="P37" s="27">
        <f t="shared" si="27"/>
        <v>33.791000000000011</v>
      </c>
      <c r="Q37" s="27">
        <f t="shared" ref="Q37:W37" si="28">+Q35+Q36</f>
        <v>36.399000000000001</v>
      </c>
      <c r="R37" s="27">
        <f t="shared" si="28"/>
        <v>11.452</v>
      </c>
      <c r="S37" s="27">
        <f t="shared" si="28"/>
        <v>8.6310000000000002</v>
      </c>
      <c r="T37" s="27">
        <f t="shared" si="28"/>
        <v>16.115000000000002</v>
      </c>
      <c r="U37" s="27">
        <f t="shared" si="28"/>
        <v>17.717000000000002</v>
      </c>
      <c r="V37" s="27">
        <f t="shared" si="28"/>
        <v>16.968999999999998</v>
      </c>
      <c r="W37" s="27">
        <f t="shared" si="28"/>
        <v>-2.1949999999999998</v>
      </c>
    </row>
    <row r="39" spans="1:25" s="35" customFormat="1">
      <c r="A39" s="34" t="s">
        <v>70</v>
      </c>
      <c r="B39" s="20">
        <v>0</v>
      </c>
      <c r="C39" s="20">
        <v>0</v>
      </c>
      <c r="D39" s="20">
        <v>0</v>
      </c>
      <c r="E39" s="20">
        <v>0</v>
      </c>
      <c r="F39" s="20">
        <v>0</v>
      </c>
      <c r="G39" s="20">
        <v>125</v>
      </c>
      <c r="H39" s="20">
        <v>0</v>
      </c>
      <c r="I39" s="20">
        <v>0</v>
      </c>
      <c r="J39" s="20">
        <v>0</v>
      </c>
      <c r="K39" s="20">
        <v>0</v>
      </c>
      <c r="L39" s="20">
        <v>0</v>
      </c>
      <c r="M39" s="20">
        <v>0</v>
      </c>
      <c r="N39" s="20">
        <v>0</v>
      </c>
      <c r="O39" s="20">
        <f>P39</f>
        <v>0</v>
      </c>
      <c r="P39" s="20">
        <v>0</v>
      </c>
      <c r="Q39" s="20">
        <v>7</v>
      </c>
      <c r="R39" s="20">
        <v>27</v>
      </c>
      <c r="S39" s="20">
        <v>34</v>
      </c>
      <c r="T39" s="20">
        <v>0</v>
      </c>
      <c r="U39" s="20"/>
      <c r="V39" s="20"/>
      <c r="W39" s="20"/>
      <c r="X39" s="33"/>
      <c r="Y39" s="33"/>
    </row>
    <row r="40" spans="1:25" s="35" customFormat="1">
      <c r="A40" s="34" t="s">
        <v>71</v>
      </c>
      <c r="B40" s="20">
        <f>2128.068+22.802+1.18</f>
        <v>2152.0500000000002</v>
      </c>
      <c r="C40" s="20">
        <f>2141.4</f>
        <v>2141.4</v>
      </c>
      <c r="D40" s="20">
        <f>1954.1</f>
        <v>1954.1</v>
      </c>
      <c r="E40" s="20">
        <f>1260+286+400</f>
        <v>1946</v>
      </c>
      <c r="F40" s="20">
        <v>1537.4</v>
      </c>
      <c r="G40" s="20">
        <f>1535.5</f>
        <v>1535.5</v>
      </c>
      <c r="H40" s="20">
        <f>1546.3</f>
        <v>1546.3</v>
      </c>
      <c r="I40" s="20">
        <v>1542.5</v>
      </c>
      <c r="J40" s="20">
        <f>1608</f>
        <v>1608</v>
      </c>
      <c r="K40" s="20">
        <f>1608.5</f>
        <v>1608.5</v>
      </c>
      <c r="L40" s="20">
        <v>1618</v>
      </c>
      <c r="M40" s="20">
        <v>1625.3</v>
      </c>
      <c r="N40" s="20">
        <v>1631.3</v>
      </c>
      <c r="O40" s="20">
        <f>P40</f>
        <v>1653</v>
      </c>
      <c r="P40" s="20">
        <v>1653</v>
      </c>
      <c r="Q40" s="20">
        <v>1147.7</v>
      </c>
      <c r="R40" s="20">
        <v>1150.7</v>
      </c>
      <c r="S40" s="20">
        <v>1153.7</v>
      </c>
      <c r="T40" s="20">
        <v>1157</v>
      </c>
      <c r="U40" s="20"/>
      <c r="V40" s="20"/>
      <c r="W40" s="20"/>
      <c r="X40" s="33"/>
      <c r="Y40" s="33"/>
    </row>
    <row r="41" spans="1:25" s="35" customFormat="1">
      <c r="A41" s="34" t="s">
        <v>72</v>
      </c>
      <c r="B41" s="20">
        <f>B39+B40</f>
        <v>2152.0500000000002</v>
      </c>
      <c r="C41" s="20">
        <f>C39+C40+6.8</f>
        <v>2148.2000000000003</v>
      </c>
      <c r="D41" s="20">
        <f>D39+D40+8.6</f>
        <v>1962.6999999999998</v>
      </c>
      <c r="E41" s="20">
        <f>E39+E40+8</f>
        <v>1954</v>
      </c>
      <c r="F41" s="20">
        <f>F39+F40+8.3</f>
        <v>1545.7</v>
      </c>
      <c r="G41" s="20">
        <f>G39+G40+6.4+7.3</f>
        <v>1674.2</v>
      </c>
      <c r="H41" s="20">
        <f>H39+H40+7.9+7.4</f>
        <v>1561.6000000000001</v>
      </c>
      <c r="I41" s="20">
        <f>I39+I40+7.9+6.8</f>
        <v>1557.2</v>
      </c>
      <c r="J41" s="20">
        <f>J39+J40+8.4+11.4</f>
        <v>1627.8000000000002</v>
      </c>
      <c r="K41" s="20">
        <f>K39+K40+6.5+21.9</f>
        <v>1636.9</v>
      </c>
      <c r="L41" s="20">
        <f>L39+L40+7.8+22.1</f>
        <v>1647.8999999999999</v>
      </c>
      <c r="M41" s="20">
        <f>M39+M40+7.7+21.4</f>
        <v>1654.4</v>
      </c>
      <c r="N41" s="20">
        <f>N39+N40+7.9+21.1</f>
        <v>1660.3</v>
      </c>
      <c r="O41" s="20">
        <f>P41</f>
        <v>1679</v>
      </c>
      <c r="P41" s="20">
        <f>P39+P40+5+21</f>
        <v>1679</v>
      </c>
      <c r="Q41" s="20">
        <v>1172.8999999999999</v>
      </c>
      <c r="R41" s="20">
        <v>1195.4000000000001</v>
      </c>
      <c r="S41" s="20">
        <v>1204.5000000000002</v>
      </c>
      <c r="T41" s="20">
        <v>1167.5999999999999</v>
      </c>
      <c r="U41" s="20"/>
      <c r="V41" s="20"/>
      <c r="W41" s="20"/>
      <c r="X41" s="33"/>
      <c r="Y41" s="33"/>
    </row>
    <row r="42" spans="1:25" s="35" customFormat="1">
      <c r="A42" s="34" t="s">
        <v>73</v>
      </c>
      <c r="B42" s="36">
        <v>0</v>
      </c>
      <c r="C42" s="36">
        <v>0</v>
      </c>
      <c r="D42" s="36">
        <v>0</v>
      </c>
      <c r="E42" s="36">
        <v>0</v>
      </c>
      <c r="F42" s="36">
        <v>0</v>
      </c>
      <c r="G42" s="36">
        <v>0</v>
      </c>
      <c r="H42" s="36">
        <v>0</v>
      </c>
      <c r="I42" s="36">
        <v>0</v>
      </c>
      <c r="J42" s="36">
        <v>0</v>
      </c>
      <c r="K42" s="36">
        <v>0</v>
      </c>
      <c r="L42" s="36">
        <v>0</v>
      </c>
      <c r="M42" s="36">
        <v>0</v>
      </c>
      <c r="N42" s="36">
        <v>0</v>
      </c>
      <c r="O42" s="36">
        <f>P42</f>
        <v>0</v>
      </c>
      <c r="P42" s="36">
        <v>0</v>
      </c>
      <c r="Q42" s="36">
        <v>0</v>
      </c>
      <c r="R42" s="36">
        <v>0</v>
      </c>
      <c r="S42" s="36">
        <v>0</v>
      </c>
      <c r="T42" s="36">
        <v>0</v>
      </c>
      <c r="U42" s="36"/>
      <c r="V42" s="36"/>
      <c r="W42" s="36"/>
      <c r="Y42" s="33"/>
    </row>
    <row r="43" spans="1:25">
      <c r="B43" s="33"/>
      <c r="C43" s="33"/>
      <c r="D43" s="33"/>
      <c r="E43" s="33"/>
      <c r="F43" s="33"/>
      <c r="G43" s="33"/>
      <c r="H43" s="33"/>
      <c r="I43" s="33"/>
      <c r="J43" s="33"/>
      <c r="K43" s="33"/>
      <c r="L43" s="33"/>
      <c r="M43" s="35"/>
      <c r="N43" s="35"/>
      <c r="O43" s="35"/>
      <c r="P43" s="35"/>
      <c r="Q43" s="35"/>
      <c r="R43" s="35"/>
      <c r="Y43" s="33"/>
    </row>
    <row r="44" spans="1:25">
      <c r="A44" s="19" t="s">
        <v>74</v>
      </c>
      <c r="B44" s="28">
        <v>99.402000000000001</v>
      </c>
      <c r="C44" s="28">
        <v>249.38300000000001</v>
      </c>
      <c r="D44" s="28">
        <v>227.8</v>
      </c>
      <c r="E44" s="28">
        <f>202-6</f>
        <v>196</v>
      </c>
      <c r="F44" s="28">
        <v>180.81</v>
      </c>
      <c r="G44" s="28">
        <v>269.56099999999998</v>
      </c>
      <c r="H44" s="28">
        <v>104.2</v>
      </c>
      <c r="I44" s="28">
        <v>116.991</v>
      </c>
      <c r="J44" s="28">
        <v>142.965</v>
      </c>
      <c r="K44" s="28">
        <v>181.13300000000001</v>
      </c>
      <c r="L44" s="28">
        <v>152.917</v>
      </c>
      <c r="M44" s="28">
        <v>80.197000000000003</v>
      </c>
      <c r="N44" s="28">
        <v>68.102999999999994</v>
      </c>
      <c r="O44" s="28">
        <v>576.79899999999998</v>
      </c>
      <c r="P44" s="28">
        <v>74</v>
      </c>
      <c r="Q44" s="28">
        <v>53.7</v>
      </c>
      <c r="R44" s="28">
        <v>45.6</v>
      </c>
      <c r="S44" s="28">
        <v>41.1</v>
      </c>
      <c r="T44" s="28">
        <v>52.7</v>
      </c>
      <c r="U44" s="57"/>
      <c r="V44" s="57"/>
      <c r="W44" s="57"/>
      <c r="Y44" s="33"/>
    </row>
    <row r="45" spans="1:25">
      <c r="B45" s="33"/>
      <c r="C45" s="33"/>
      <c r="D45" s="33"/>
      <c r="E45" s="33"/>
      <c r="F45" s="33"/>
    </row>
    <row r="46" spans="1:25">
      <c r="A46" s="14" t="s">
        <v>75</v>
      </c>
      <c r="B46" s="51">
        <v>1762.7470000000001</v>
      </c>
      <c r="C46" s="51">
        <v>1619.616</v>
      </c>
      <c r="D46" s="51">
        <v>1501.4</v>
      </c>
      <c r="E46" s="51">
        <v>1474.81</v>
      </c>
      <c r="F46" s="51">
        <v>1481.5630000000001</v>
      </c>
      <c r="G46" s="51">
        <v>1522.682</v>
      </c>
      <c r="H46" s="51">
        <v>1546.7439999999999</v>
      </c>
      <c r="I46" s="51">
        <v>1516.848</v>
      </c>
      <c r="J46" s="51">
        <v>1517.681</v>
      </c>
      <c r="K46" s="51">
        <v>1517.4010000000001</v>
      </c>
      <c r="L46" s="51">
        <v>1559.174</v>
      </c>
      <c r="M46" s="51">
        <v>1530.895</v>
      </c>
      <c r="N46" s="51">
        <v>1505.924</v>
      </c>
      <c r="O46" s="51">
        <f>P46+O12-S12</f>
        <v>1506.7280000000001</v>
      </c>
      <c r="P46" s="51">
        <v>1451</v>
      </c>
      <c r="Q46" s="33">
        <f>SUM(Q12:T12)</f>
        <v>1157.6099999999999</v>
      </c>
      <c r="R46" s="33">
        <f>SUM(R12:U12)</f>
        <v>1052.268</v>
      </c>
      <c r="S46" s="33">
        <f>SUM(S12:V12)</f>
        <v>953.93</v>
      </c>
      <c r="T46" s="33">
        <f>SUM(T12:W12)</f>
        <v>872.82500000000005</v>
      </c>
    </row>
    <row r="47" spans="1:25">
      <c r="A47" s="14" t="s">
        <v>76</v>
      </c>
      <c r="B47" s="58">
        <f t="shared" ref="B47:C47" si="29">B27</f>
        <v>429.9</v>
      </c>
      <c r="C47" s="58">
        <f t="shared" si="29"/>
        <v>404.233</v>
      </c>
      <c r="D47" s="58">
        <f t="shared" ref="D47:E47" si="30">D27</f>
        <v>360.50099999999998</v>
      </c>
      <c r="E47" s="58">
        <f t="shared" si="30"/>
        <v>342.92099999999999</v>
      </c>
      <c r="F47" s="58">
        <f t="shared" ref="F47:G47" si="31">F27</f>
        <v>327.70499999999998</v>
      </c>
      <c r="G47" s="58">
        <f t="shared" si="31"/>
        <v>318.09699999999998</v>
      </c>
      <c r="H47" s="58">
        <f t="shared" ref="H47:N47" si="32">H27</f>
        <v>321.51799999999997</v>
      </c>
      <c r="I47" s="58">
        <f t="shared" si="32"/>
        <v>323.60000000000002</v>
      </c>
      <c r="J47" s="58">
        <f t="shared" si="32"/>
        <v>324.3</v>
      </c>
      <c r="K47" s="58">
        <f t="shared" si="32"/>
        <v>320</v>
      </c>
      <c r="L47" s="58">
        <f t="shared" si="32"/>
        <v>326.2</v>
      </c>
      <c r="M47" s="58">
        <f t="shared" si="32"/>
        <v>310.012</v>
      </c>
      <c r="N47" s="58">
        <f t="shared" si="32"/>
        <v>308.649</v>
      </c>
      <c r="O47" s="58">
        <f>P47+O22-S22</f>
        <v>286.40299999999996</v>
      </c>
      <c r="P47" s="51">
        <f>P27</f>
        <v>282</v>
      </c>
      <c r="Q47" s="33">
        <f>+Q27</f>
        <v>217.42699999999999</v>
      </c>
      <c r="R47" s="33">
        <f>+R27</f>
        <v>203.40700000000001</v>
      </c>
      <c r="S47" s="33">
        <f>+S27</f>
        <v>184.45699999999999</v>
      </c>
      <c r="T47" s="33">
        <f>+T27</f>
        <v>168.63900000000001</v>
      </c>
    </row>
    <row r="48" spans="1:25">
      <c r="A48" s="14" t="s">
        <v>77</v>
      </c>
      <c r="B48" s="58">
        <f t="shared" ref="B48:P48" si="33">SUM(B37:E37)</f>
        <v>97.510999999999996</v>
      </c>
      <c r="C48" s="58">
        <f t="shared" si="33"/>
        <v>144.28100000000001</v>
      </c>
      <c r="D48" s="58">
        <f t="shared" si="33"/>
        <v>176.892</v>
      </c>
      <c r="E48" s="58">
        <f t="shared" si="33"/>
        <v>160.607</v>
      </c>
      <c r="F48" s="58">
        <f t="shared" si="33"/>
        <v>171.42500000000001</v>
      </c>
      <c r="G48" s="58">
        <f t="shared" si="33"/>
        <v>85.747</v>
      </c>
      <c r="H48" s="58">
        <f t="shared" si="33"/>
        <v>47.276999999999994</v>
      </c>
      <c r="I48" s="58">
        <f t="shared" si="33"/>
        <v>70.777000000000001</v>
      </c>
      <c r="J48" s="58">
        <f t="shared" si="33"/>
        <v>65.032000000000011</v>
      </c>
      <c r="K48" s="58">
        <f t="shared" si="33"/>
        <v>78.706999999999994</v>
      </c>
      <c r="L48" s="58">
        <f t="shared" si="33"/>
        <v>77.066000000000003</v>
      </c>
      <c r="M48" s="58">
        <f t="shared" si="33"/>
        <v>62.744000000000021</v>
      </c>
      <c r="N48" s="58">
        <f t="shared" si="33"/>
        <v>70.77300000000001</v>
      </c>
      <c r="O48" s="58">
        <f t="shared" si="33"/>
        <v>89.089000000000013</v>
      </c>
      <c r="P48" s="58">
        <f t="shared" si="33"/>
        <v>90.27300000000001</v>
      </c>
      <c r="Q48" s="33">
        <f>+SUM(Q37:T37)</f>
        <v>72.597000000000008</v>
      </c>
      <c r="R48" s="33">
        <f>+SUM(R37:U37)</f>
        <v>53.915000000000006</v>
      </c>
      <c r="S48" s="33">
        <f>+SUM(S37:V37)</f>
        <v>59.432000000000002</v>
      </c>
      <c r="T48" s="33">
        <f>+SUM(T37:W37)</f>
        <v>48.606000000000002</v>
      </c>
    </row>
    <row r="50" spans="1:23" s="37" customFormat="1">
      <c r="A50" s="37" t="s">
        <v>78</v>
      </c>
      <c r="B50" s="37">
        <f t="shared" ref="B50:C50" si="34">+SUM(B39:B40)/B47</f>
        <v>5.0059316120027919</v>
      </c>
      <c r="C50" s="37">
        <f t="shared" si="34"/>
        <v>5.2974398428629037</v>
      </c>
      <c r="D50" s="37">
        <f t="shared" ref="D50:E50" si="35">+SUM(D39:D40)/D47</f>
        <v>5.4205120096754245</v>
      </c>
      <c r="E50" s="37">
        <f t="shared" si="35"/>
        <v>5.6747764062276733</v>
      </c>
      <c r="F50" s="37">
        <f t="shared" ref="F50:G50" si="36">+SUM(F39:F40)/F47</f>
        <v>4.6914145344135738</v>
      </c>
      <c r="G50" s="37">
        <f t="shared" si="36"/>
        <v>5.2201058167791592</v>
      </c>
      <c r="H50" s="37">
        <f t="shared" ref="H50" si="37">+SUM(H39:H40)/H47</f>
        <v>4.809373036657357</v>
      </c>
      <c r="I50" s="37">
        <f t="shared" ref="I50:J50" si="38">+SUM(I39:I40)/I47</f>
        <v>4.7666872682323858</v>
      </c>
      <c r="J50" s="37">
        <f t="shared" si="38"/>
        <v>4.9583718778908414</v>
      </c>
      <c r="K50" s="37">
        <f t="shared" ref="K50:L50" si="39">+SUM(K39:K40)/K47</f>
        <v>5.0265624999999998</v>
      </c>
      <c r="L50" s="37">
        <f t="shared" si="39"/>
        <v>4.9601471489883506</v>
      </c>
      <c r="M50" s="37">
        <f t="shared" ref="M50:T50" si="40">+SUM(M39:M40)/M47</f>
        <v>5.2427002825697064</v>
      </c>
      <c r="N50" s="37">
        <f t="shared" si="40"/>
        <v>5.2852917067607539</v>
      </c>
      <c r="O50" s="37">
        <f t="shared" si="40"/>
        <v>5.7715875881188401</v>
      </c>
      <c r="P50" s="37">
        <f t="shared" si="40"/>
        <v>5.8617021276595747</v>
      </c>
      <c r="Q50" s="37">
        <f t="shared" si="40"/>
        <v>5.3107479751824753</v>
      </c>
      <c r="R50" s="37">
        <f t="shared" si="40"/>
        <v>5.789869571843643</v>
      </c>
      <c r="S50" s="37">
        <f t="shared" si="40"/>
        <v>6.4388990388003711</v>
      </c>
      <c r="T50" s="37">
        <f t="shared" si="40"/>
        <v>6.8608091841151806</v>
      </c>
    </row>
    <row r="51" spans="1:23" s="37" customFormat="1">
      <c r="A51" s="37" t="s">
        <v>79</v>
      </c>
      <c r="B51" s="37">
        <f t="shared" ref="B51:C51" si="41">+B41/B47</f>
        <v>5.0059316120027919</v>
      </c>
      <c r="C51" s="37">
        <f t="shared" si="41"/>
        <v>5.3142618242449284</v>
      </c>
      <c r="D51" s="37">
        <f t="shared" ref="D51:E51" si="42">+D41/D47</f>
        <v>5.4443676993961176</v>
      </c>
      <c r="E51" s="37">
        <f t="shared" si="42"/>
        <v>5.6981053945369347</v>
      </c>
      <c r="F51" s="37">
        <f t="shared" ref="F51:G51" si="43">+F41/F47</f>
        <v>4.7167421919104076</v>
      </c>
      <c r="G51" s="37">
        <f t="shared" si="43"/>
        <v>5.2631744405008538</v>
      </c>
      <c r="H51" s="37">
        <f t="shared" ref="H51" si="44">+H41/H47</f>
        <v>4.8569597969631566</v>
      </c>
      <c r="I51" s="37">
        <f t="shared" ref="I51:J51" si="45">+I41/I47</f>
        <v>4.8121137206427687</v>
      </c>
      <c r="J51" s="37">
        <f t="shared" si="45"/>
        <v>5.0194264569842746</v>
      </c>
      <c r="K51" s="37">
        <f t="shared" ref="K51:L51" si="46">+K41/K47</f>
        <v>5.1153124999999999</v>
      </c>
      <c r="L51" s="37">
        <f t="shared" si="46"/>
        <v>5.0518087063151436</v>
      </c>
      <c r="M51" s="37">
        <f t="shared" ref="M51:T51" si="47">+M41/M47</f>
        <v>5.3365676167374172</v>
      </c>
      <c r="N51" s="37">
        <f t="shared" si="47"/>
        <v>5.3792495682798256</v>
      </c>
      <c r="O51" s="37">
        <f t="shared" si="47"/>
        <v>5.8623687601037711</v>
      </c>
      <c r="P51" s="37">
        <f t="shared" si="47"/>
        <v>5.9539007092198579</v>
      </c>
      <c r="Q51" s="37">
        <f t="shared" si="47"/>
        <v>5.3944542306153327</v>
      </c>
      <c r="R51" s="37">
        <f t="shared" si="47"/>
        <v>5.8768872261033298</v>
      </c>
      <c r="S51" s="37">
        <f t="shared" si="47"/>
        <v>6.5299771762524612</v>
      </c>
      <c r="T51" s="37">
        <f t="shared" si="47"/>
        <v>6.9236653443153706</v>
      </c>
    </row>
    <row r="52" spans="1:23" s="37" customFormat="1">
      <c r="A52" s="37" t="s">
        <v>80</v>
      </c>
      <c r="B52" s="37">
        <f t="shared" ref="B52:C52" si="48">+(B41-B44)/B47</f>
        <v>4.7747103977669232</v>
      </c>
      <c r="C52" s="37">
        <f t="shared" si="48"/>
        <v>4.6973329738047118</v>
      </c>
      <c r="D52" s="37">
        <f t="shared" ref="D52:E52" si="49">+(D41-D44)/D47</f>
        <v>4.8124693135386583</v>
      </c>
      <c r="E52" s="37">
        <f t="shared" si="49"/>
        <v>5.1265451809600462</v>
      </c>
      <c r="F52" s="37">
        <f t="shared" ref="F52:G52" si="50">+(F41-F44)/F47</f>
        <v>4.1649959567293759</v>
      </c>
      <c r="G52" s="37">
        <f t="shared" si="50"/>
        <v>4.4157568288918165</v>
      </c>
      <c r="H52" s="37">
        <f t="shared" ref="H52" si="51">+(H41-H44)/H47</f>
        <v>4.5328721875602618</v>
      </c>
      <c r="I52" s="37">
        <f t="shared" ref="I52:J52" si="52">+(I41-I44)/I47</f>
        <v>4.4505840543881332</v>
      </c>
      <c r="J52" s="37">
        <f t="shared" si="52"/>
        <v>4.5785846438482896</v>
      </c>
      <c r="K52" s="37">
        <f t="shared" ref="K52:L52" si="53">+(K41-K44)/K47</f>
        <v>4.5492718750000005</v>
      </c>
      <c r="L52" s="37">
        <f t="shared" si="53"/>
        <v>4.5830257510729613</v>
      </c>
      <c r="M52" s="37">
        <f t="shared" ref="M52:T52" si="54">+(M41-M44)/M47</f>
        <v>5.077877630543334</v>
      </c>
      <c r="N52" s="37">
        <f t="shared" si="54"/>
        <v>5.158600870244193</v>
      </c>
      <c r="O52" s="37">
        <f t="shared" si="54"/>
        <v>3.8484268670370079</v>
      </c>
      <c r="P52" s="37">
        <f t="shared" si="54"/>
        <v>5.6914893617021276</v>
      </c>
      <c r="Q52" s="37">
        <f t="shared" si="54"/>
        <v>5.1474747846403615</v>
      </c>
      <c r="R52" s="37">
        <f t="shared" si="54"/>
        <v>5.6527061507224436</v>
      </c>
      <c r="S52" s="37">
        <f t="shared" si="54"/>
        <v>6.3071610185571725</v>
      </c>
      <c r="T52" s="37">
        <f t="shared" si="54"/>
        <v>6.6111634912446098</v>
      </c>
    </row>
    <row r="53" spans="1:23" s="38" customFormat="1">
      <c r="A53" s="38" t="s">
        <v>81</v>
      </c>
      <c r="B53" s="38">
        <f t="shared" ref="B53:C53" si="55">+B48/B41</f>
        <v>4.5310750214911356E-2</v>
      </c>
      <c r="C53" s="38">
        <f t="shared" si="55"/>
        <v>6.7163671911367656E-2</v>
      </c>
      <c r="D53" s="38">
        <f t="shared" ref="D53:E53" si="56">+D48/D41</f>
        <v>9.012686605186733E-2</v>
      </c>
      <c r="E53" s="38">
        <f t="shared" si="56"/>
        <v>8.2193961105424776E-2</v>
      </c>
      <c r="F53" s="38">
        <f t="shared" ref="F53:G53" si="57">+F48/F41</f>
        <v>0.11090444458821247</v>
      </c>
      <c r="G53" s="38">
        <f t="shared" si="57"/>
        <v>5.1216700513678173E-2</v>
      </c>
      <c r="H53" s="38">
        <f t="shared" ref="H53" si="58">+H48/H41</f>
        <v>3.027471823770491E-2</v>
      </c>
      <c r="I53" s="38">
        <f t="shared" ref="I53:J53" si="59">+I48/I41</f>
        <v>4.5451451322887235E-2</v>
      </c>
      <c r="J53" s="38">
        <f t="shared" si="59"/>
        <v>3.9950853913257159E-2</v>
      </c>
      <c r="K53" s="38">
        <f t="shared" ref="K53:T53" si="60">+K48/K41</f>
        <v>4.8082961695888563E-2</v>
      </c>
      <c r="L53" s="38">
        <f t="shared" si="60"/>
        <v>4.6766187268644947E-2</v>
      </c>
      <c r="M53" s="38">
        <f t="shared" si="60"/>
        <v>3.7925531914893625E-2</v>
      </c>
      <c r="N53" s="38">
        <f t="shared" si="60"/>
        <v>4.2626633740890207E-2</v>
      </c>
      <c r="O53" s="38">
        <f t="shared" si="60"/>
        <v>5.306075044669447E-2</v>
      </c>
      <c r="P53" s="38">
        <f t="shared" si="60"/>
        <v>5.3765932102441939E-2</v>
      </c>
      <c r="Q53" s="38">
        <f t="shared" si="60"/>
        <v>6.1895302242305411E-2</v>
      </c>
      <c r="R53" s="38">
        <f t="shared" si="60"/>
        <v>4.5102057888572862E-2</v>
      </c>
      <c r="S53" s="38">
        <f t="shared" si="60"/>
        <v>4.9341635533416348E-2</v>
      </c>
      <c r="T53" s="38">
        <f t="shared" si="60"/>
        <v>4.1628982528263109E-2</v>
      </c>
    </row>
    <row r="54" spans="1:23" s="38" customFormat="1">
      <c r="A54" s="39" t="s">
        <v>82</v>
      </c>
      <c r="B54" s="40">
        <v>11</v>
      </c>
      <c r="C54" s="40">
        <v>11</v>
      </c>
      <c r="D54" s="40">
        <v>11</v>
      </c>
      <c r="E54" s="40">
        <v>11</v>
      </c>
      <c r="F54" s="40">
        <v>11</v>
      </c>
      <c r="G54" s="40">
        <v>11</v>
      </c>
      <c r="H54" s="40">
        <v>11</v>
      </c>
      <c r="I54" s="40">
        <v>11</v>
      </c>
      <c r="J54" s="40">
        <v>11</v>
      </c>
      <c r="K54" s="40">
        <v>11</v>
      </c>
      <c r="L54" s="40">
        <v>11</v>
      </c>
      <c r="M54" s="40">
        <v>11</v>
      </c>
      <c r="N54" s="40">
        <v>11</v>
      </c>
      <c r="O54" s="40">
        <v>11</v>
      </c>
      <c r="P54" s="40">
        <v>11</v>
      </c>
      <c r="Q54" s="40">
        <v>11</v>
      </c>
      <c r="R54" s="40">
        <v>11</v>
      </c>
      <c r="S54" s="40">
        <v>11</v>
      </c>
      <c r="T54" s="40">
        <v>11</v>
      </c>
      <c r="U54" s="39"/>
      <c r="V54" s="39"/>
      <c r="W54" s="39"/>
    </row>
    <row r="55" spans="1:23" s="38" customFormat="1">
      <c r="A55" s="38" t="s">
        <v>83</v>
      </c>
      <c r="B55" s="41" t="str">
        <f t="shared" ref="B55:C55" si="61">IF(B42=0,IF(B54="","","*"&amp;TEXT(B54,"0.0x")),(B41+B42-B44)/B47)</f>
        <v>*11.0x</v>
      </c>
      <c r="C55" s="41" t="str">
        <f t="shared" si="61"/>
        <v>*11.0x</v>
      </c>
      <c r="D55" s="41" t="str">
        <f t="shared" ref="D55:E55" si="62">IF(D42=0,IF(D54="","","*"&amp;TEXT(D54,"0.0x")),(D41+D42-D44)/D47)</f>
        <v>*11.0x</v>
      </c>
      <c r="E55" s="41" t="str">
        <f t="shared" si="62"/>
        <v>*11.0x</v>
      </c>
      <c r="F55" s="41" t="str">
        <f t="shared" ref="F55:G55" si="63">IF(F42=0,IF(F54="","","*"&amp;TEXT(F54,"0.0x")),(F41+F42-F44)/F47)</f>
        <v>*11.0x</v>
      </c>
      <c r="G55" s="41" t="str">
        <f t="shared" si="63"/>
        <v>*11.0x</v>
      </c>
      <c r="H55" s="41" t="str">
        <f t="shared" ref="H55" si="64">IF(H42=0,IF(H54="","","*"&amp;TEXT(H54,"0.0x")),(H41+H42-H44)/H47)</f>
        <v>*11.0x</v>
      </c>
      <c r="I55" s="41" t="str">
        <f t="shared" ref="I55:J55" si="65">IF(I42=0,IF(I54="","","*"&amp;TEXT(I54,"0.0x")),(I41+I42-I44)/I47)</f>
        <v>*11.0x</v>
      </c>
      <c r="J55" s="41" t="str">
        <f t="shared" si="65"/>
        <v>*11.0x</v>
      </c>
      <c r="K55" s="41" t="str">
        <f t="shared" ref="K55:L55" si="66">IF(K42=0,IF(K54="","","*"&amp;TEXT(K54,"0.0x")),(K41+K42-K44)/K47)</f>
        <v>*11.0x</v>
      </c>
      <c r="L55" s="41" t="str">
        <f t="shared" si="66"/>
        <v>*11.0x</v>
      </c>
      <c r="M55" s="41" t="str">
        <f t="shared" ref="M55:T55" si="67">IF(M42=0,IF(M54="","","*"&amp;TEXT(M54,"0.0x")),(M41+M42-M44)/M47)</f>
        <v>*11.0x</v>
      </c>
      <c r="N55" s="41" t="str">
        <f t="shared" si="67"/>
        <v>*11.0x</v>
      </c>
      <c r="O55" s="41" t="str">
        <f t="shared" si="67"/>
        <v>*11.0x</v>
      </c>
      <c r="P55" s="41" t="str">
        <f t="shared" si="67"/>
        <v>*11.0x</v>
      </c>
      <c r="Q55" s="41" t="str">
        <f t="shared" si="67"/>
        <v>*11.0x</v>
      </c>
      <c r="R55" s="41" t="str">
        <f t="shared" si="67"/>
        <v>*11.0x</v>
      </c>
      <c r="S55" s="41" t="str">
        <f t="shared" si="67"/>
        <v>*11.0x</v>
      </c>
      <c r="T55" s="41" t="str">
        <f t="shared" si="67"/>
        <v>*11.0x</v>
      </c>
      <c r="U55" s="41" t="str">
        <f>IF(U42=0,IF(U54="","",CONCATENATE("* ",U54,"x")),(U41+U42-U44)/U47)</f>
        <v/>
      </c>
      <c r="V55" s="41" t="str">
        <f>IF(V42=0,IF(V54="","",CONCATENATE("* ",V54,"x")),(V41+V42-V44)/V47)</f>
        <v/>
      </c>
      <c r="W55" s="41" t="str">
        <f>IF(W42=0,IF(W54="","",CONCATENATE("* ",W54,"x")),(W41+W42-W44)/W47)</f>
        <v/>
      </c>
    </row>
    <row r="56" spans="1:23">
      <c r="T56" s="42"/>
    </row>
    <row r="57" spans="1:23" ht="80.25" customHeight="1">
      <c r="A57" s="43" t="s">
        <v>84</v>
      </c>
      <c r="B57" s="44" t="s">
        <v>289</v>
      </c>
      <c r="C57" s="44" t="s">
        <v>289</v>
      </c>
      <c r="D57" s="44" t="s">
        <v>289</v>
      </c>
      <c r="E57" s="44" t="s">
        <v>578</v>
      </c>
      <c r="F57" s="44" t="s">
        <v>289</v>
      </c>
      <c r="G57" s="44" t="s">
        <v>289</v>
      </c>
      <c r="H57" s="44" t="s">
        <v>289</v>
      </c>
      <c r="I57" s="44" t="s">
        <v>289</v>
      </c>
      <c r="J57" s="44" t="s">
        <v>289</v>
      </c>
      <c r="K57" s="44" t="s">
        <v>289</v>
      </c>
      <c r="L57" s="44" t="s">
        <v>289</v>
      </c>
      <c r="M57" s="44"/>
      <c r="N57" s="44"/>
      <c r="O57" s="44"/>
      <c r="P57" s="44" t="s">
        <v>220</v>
      </c>
      <c r="Q57" s="44"/>
      <c r="R57" s="44"/>
      <c r="S57" s="44"/>
      <c r="T57" s="44"/>
      <c r="U57" s="44"/>
      <c r="V57" s="44"/>
      <c r="W57" s="44"/>
    </row>
    <row r="58" spans="1:23">
      <c r="A58" s="45"/>
      <c r="B58" s="42"/>
      <c r="C58" s="42"/>
      <c r="D58" s="42"/>
      <c r="E58" s="42"/>
      <c r="F58" s="42"/>
      <c r="G58" s="42"/>
      <c r="H58" s="42"/>
      <c r="I58" s="42"/>
      <c r="J58" s="42"/>
      <c r="K58" s="42"/>
      <c r="L58" s="42"/>
      <c r="M58" s="42"/>
      <c r="N58" s="42"/>
      <c r="O58" s="42"/>
      <c r="P58" s="42"/>
    </row>
    <row r="59" spans="1:23">
      <c r="A59" s="45"/>
    </row>
  </sheetData>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J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4" width="10.6640625" style="14" customWidth="1"/>
    <col min="15" max="24" width="10.6640625" style="14" hidden="1" customWidth="1"/>
    <col min="25" max="16384" width="9.109375" style="14"/>
  </cols>
  <sheetData>
    <row r="1" spans="1:36">
      <c r="AJ1" s="14" t="s">
        <v>115</v>
      </c>
    </row>
    <row r="2" spans="1:36">
      <c r="A2" s="13" t="s">
        <v>44</v>
      </c>
      <c r="B2" s="14" t="s">
        <v>512</v>
      </c>
    </row>
    <row r="3" spans="1:36" s="16" customFormat="1">
      <c r="A3" s="15" t="s">
        <v>45</v>
      </c>
      <c r="B3" s="16" t="s">
        <v>114</v>
      </c>
    </row>
    <row r="4" spans="1:36">
      <c r="A4" s="13" t="s">
        <v>2</v>
      </c>
      <c r="B4" s="14" t="s">
        <v>4</v>
      </c>
    </row>
    <row r="5" spans="1:36">
      <c r="A5" s="13" t="s">
        <v>46</v>
      </c>
    </row>
    <row r="6" spans="1:36">
      <c r="A6" s="13" t="s">
        <v>47</v>
      </c>
      <c r="B6" s="14">
        <v>3</v>
      </c>
    </row>
    <row r="7" spans="1:36">
      <c r="A7" s="13" t="s">
        <v>48</v>
      </c>
      <c r="B7" s="14" t="s">
        <v>455</v>
      </c>
    </row>
    <row r="8" spans="1:36">
      <c r="A8" s="13" t="s">
        <v>347</v>
      </c>
      <c r="B8" s="14" t="s">
        <v>387</v>
      </c>
    </row>
    <row r="9" spans="1:36">
      <c r="A9" s="17"/>
    </row>
    <row r="10" spans="1:36">
      <c r="A10" s="17" t="s">
        <v>49</v>
      </c>
      <c r="B10" s="18">
        <v>44286</v>
      </c>
      <c r="C10" s="18">
        <v>44196</v>
      </c>
      <c r="D10" s="18">
        <v>44104</v>
      </c>
      <c r="E10" s="18">
        <v>44012</v>
      </c>
      <c r="F10" s="18">
        <v>43921</v>
      </c>
      <c r="G10" s="18">
        <v>43830</v>
      </c>
      <c r="H10" s="18">
        <v>43738</v>
      </c>
      <c r="I10" s="18">
        <v>43646</v>
      </c>
      <c r="J10" s="18">
        <v>43555</v>
      </c>
      <c r="K10" s="18">
        <v>43465</v>
      </c>
      <c r="L10" s="18">
        <v>43373</v>
      </c>
      <c r="M10" s="18">
        <v>43281</v>
      </c>
      <c r="N10" s="18">
        <v>43190</v>
      </c>
      <c r="O10" s="18">
        <v>43100</v>
      </c>
      <c r="P10" s="18">
        <v>43008</v>
      </c>
      <c r="Q10" s="18">
        <v>42916</v>
      </c>
      <c r="R10" s="18">
        <v>42825</v>
      </c>
      <c r="S10" s="18">
        <v>42735</v>
      </c>
      <c r="T10" s="18">
        <v>42643</v>
      </c>
      <c r="U10" s="18">
        <v>42551</v>
      </c>
      <c r="V10" s="18">
        <v>42460</v>
      </c>
      <c r="W10" s="18">
        <v>42369</v>
      </c>
      <c r="X10" s="18">
        <v>42277</v>
      </c>
    </row>
    <row r="11" spans="1:36">
      <c r="B11" s="33"/>
      <c r="C11" s="33"/>
      <c r="D11" s="33"/>
      <c r="E11" s="33"/>
      <c r="F11" s="33"/>
      <c r="G11" s="33"/>
    </row>
    <row r="12" spans="1:36">
      <c r="A12" s="19" t="s">
        <v>50</v>
      </c>
      <c r="B12" s="20">
        <v>1186.5999999999999</v>
      </c>
      <c r="C12" s="20">
        <f>4196.2-D12-E12-F12</f>
        <v>1235.5759999999996</v>
      </c>
      <c r="D12" s="20">
        <v>1036</v>
      </c>
      <c r="E12" s="20">
        <v>993.3</v>
      </c>
      <c r="F12" s="20">
        <v>931.32399999999996</v>
      </c>
      <c r="G12" s="20">
        <f>3346.9-H12-I12-J12</f>
        <v>896.57600000000014</v>
      </c>
      <c r="H12" s="20">
        <v>898.00900000000001</v>
      </c>
      <c r="I12" s="20">
        <v>831.41700000000003</v>
      </c>
      <c r="J12" s="20">
        <v>720.89800000000002</v>
      </c>
      <c r="K12" s="20">
        <f>1852.591-L12-M12-N12</f>
        <v>617.85099999999989</v>
      </c>
      <c r="L12" s="20">
        <v>450.62400000000002</v>
      </c>
      <c r="M12" s="20">
        <v>452.51900000000001</v>
      </c>
      <c r="N12" s="20">
        <v>331.59699999999998</v>
      </c>
      <c r="O12" s="20">
        <f>1333.067-P12-Q12-R12</f>
        <v>368.01499999999993</v>
      </c>
      <c r="P12" s="20">
        <v>365.85</v>
      </c>
      <c r="Q12" s="20">
        <v>334.59899999999999</v>
      </c>
      <c r="R12" s="20">
        <v>264.60300000000001</v>
      </c>
      <c r="S12" s="20">
        <f>943.925-V12-U12-T12</f>
        <v>286.86799999999994</v>
      </c>
      <c r="T12" s="20">
        <v>248.73</v>
      </c>
      <c r="U12" s="20">
        <v>242.4</v>
      </c>
      <c r="V12" s="20">
        <f>408.327-U12</f>
        <v>165.92699999999999</v>
      </c>
      <c r="W12" s="20">
        <f>477.66-356.868</f>
        <v>120.79200000000003</v>
      </c>
      <c r="X12" s="20">
        <v>142.49600000000001</v>
      </c>
    </row>
    <row r="13" spans="1:36" s="21" customFormat="1">
      <c r="A13" s="21" t="s">
        <v>51</v>
      </c>
      <c r="B13" s="21">
        <f>+B12/F12-1</f>
        <v>0.27410009835460047</v>
      </c>
      <c r="C13" s="21">
        <f>+C12/G12-1</f>
        <v>0.37810514669141204</v>
      </c>
      <c r="D13" s="21">
        <f t="shared" ref="D13:T13" si="0">+D12/H12-1</f>
        <v>0.15366327063537222</v>
      </c>
      <c r="E13" s="21">
        <f t="shared" si="0"/>
        <v>0.19470734901980591</v>
      </c>
      <c r="F13" s="21">
        <f t="shared" si="0"/>
        <v>0.29189427630538578</v>
      </c>
      <c r="G13" s="21">
        <f t="shared" si="0"/>
        <v>0.45112009206103143</v>
      </c>
      <c r="H13" s="21">
        <f t="shared" si="0"/>
        <v>0.99281218931969883</v>
      </c>
      <c r="I13" s="21">
        <f t="shared" si="0"/>
        <v>0.83730848870434182</v>
      </c>
      <c r="J13" s="21">
        <f t="shared" si="0"/>
        <v>1.1740184621694407</v>
      </c>
      <c r="K13" s="21">
        <f t="shared" si="0"/>
        <v>0.67887450239800007</v>
      </c>
      <c r="L13" s="21">
        <f t="shared" si="0"/>
        <v>0.23171791717917167</v>
      </c>
      <c r="M13" s="21">
        <f t="shared" si="0"/>
        <v>0.35242185421952854</v>
      </c>
      <c r="N13" s="21">
        <f t="shared" si="0"/>
        <v>0.25318684973337402</v>
      </c>
      <c r="O13" s="21">
        <f t="shared" si="0"/>
        <v>0.28287226180682401</v>
      </c>
      <c r="P13" s="21">
        <f t="shared" si="0"/>
        <v>0.47087202991195287</v>
      </c>
      <c r="Q13" s="21">
        <f t="shared" si="0"/>
        <v>0.38035891089108897</v>
      </c>
      <c r="R13" s="21">
        <f t="shared" si="0"/>
        <v>0.59469525755302044</v>
      </c>
      <c r="S13" s="21">
        <f t="shared" si="0"/>
        <v>1.3748923769786066</v>
      </c>
      <c r="T13" s="21">
        <f t="shared" si="0"/>
        <v>0.74552268133842325</v>
      </c>
    </row>
    <row r="14" spans="1:36" s="24" customFormat="1">
      <c r="A14" s="22" t="s">
        <v>52</v>
      </c>
      <c r="B14" s="129">
        <v>5.0000000000000001E-3</v>
      </c>
      <c r="C14" s="129">
        <f>(C12-G12-337.5)/G12</f>
        <v>1.6730316225277405E-3</v>
      </c>
      <c r="D14" s="129">
        <f>(D12-H12-162.6)/H12</f>
        <v>-2.7403956975932321E-2</v>
      </c>
      <c r="E14" s="129">
        <f>AB18/I12</f>
        <v>-4.0673933778116234E-2</v>
      </c>
      <c r="F14" s="129">
        <f>AC18/J12</f>
        <v>4.1928261695829284E-2</v>
      </c>
      <c r="G14" s="129">
        <f>AD18/K12</f>
        <v>7.1214580861728438E-2</v>
      </c>
      <c r="H14" s="129">
        <f>AE18/L12</f>
        <v>0.10981439071154668</v>
      </c>
      <c r="I14" s="129">
        <f>AF18/M12</f>
        <v>5.413695336549415E-2</v>
      </c>
      <c r="J14" s="23" t="s">
        <v>3</v>
      </c>
      <c r="K14" s="23" t="s">
        <v>3</v>
      </c>
      <c r="L14" s="23" t="s">
        <v>3</v>
      </c>
      <c r="M14" s="23" t="s">
        <v>3</v>
      </c>
      <c r="N14" s="23" t="s">
        <v>3</v>
      </c>
      <c r="O14" s="23" t="s">
        <v>3</v>
      </c>
      <c r="P14" s="23" t="s">
        <v>3</v>
      </c>
      <c r="Q14" s="23" t="s">
        <v>3</v>
      </c>
      <c r="R14" s="23" t="s">
        <v>3</v>
      </c>
      <c r="S14" s="23" t="s">
        <v>3</v>
      </c>
      <c r="T14" s="23" t="s">
        <v>3</v>
      </c>
      <c r="U14" s="22"/>
      <c r="V14" s="22"/>
      <c r="W14" s="22"/>
      <c r="X14" s="22"/>
    </row>
    <row r="15" spans="1:36">
      <c r="B15" s="33"/>
      <c r="C15" s="33"/>
    </row>
    <row r="16" spans="1:36" s="17" customFormat="1">
      <c r="A16" s="25" t="s">
        <v>53</v>
      </c>
      <c r="B16" s="26">
        <f>91.2-39+0.8+9.7+228.3</f>
        <v>291</v>
      </c>
      <c r="C16" s="26">
        <f>C22-C21-C20-C19</f>
        <v>285.8</v>
      </c>
      <c r="D16" s="26">
        <f>D22-D21-D20-D19</f>
        <v>263.2</v>
      </c>
      <c r="E16" s="26">
        <f>E22-E21-E20-E19</f>
        <v>246.79999999999998</v>
      </c>
      <c r="F16" s="26">
        <f>125.5+1.6+106+15.7+1.2-88.4</f>
        <v>161.59999999999997</v>
      </c>
      <c r="G16" s="26">
        <f>125.5+1.6+106+15.7</f>
        <v>248.79999999999998</v>
      </c>
      <c r="H16" s="26">
        <f>H22-H21-H20-H19</f>
        <v>196.89999999999998</v>
      </c>
      <c r="I16" s="26">
        <f>I22-I21-I20-I19</f>
        <v>195.7</v>
      </c>
      <c r="J16" s="26">
        <f>176-0.2-16.6+3.6</f>
        <v>162.80000000000001</v>
      </c>
      <c r="K16" s="26">
        <f>248.1-L16-M16-N16</f>
        <v>39.199999999999982</v>
      </c>
      <c r="L16" s="26">
        <f>168.1+22+18.8-M16-N16</f>
        <v>96.4</v>
      </c>
      <c r="M16" s="26">
        <f>70.7+23+18.8-N16</f>
        <v>59.800000000000004</v>
      </c>
      <c r="N16" s="26">
        <f>39+11.4+2.3</f>
        <v>52.699999999999996</v>
      </c>
      <c r="O16" s="26">
        <f>311.8-R16-Q16-P16</f>
        <v>86.100000000000037</v>
      </c>
      <c r="P16" s="26">
        <f>225.7-Q16-R16</f>
        <v>95.699999999999974</v>
      </c>
      <c r="Q16" s="26">
        <f>130-R16</f>
        <v>79.3</v>
      </c>
      <c r="R16" s="26">
        <f>50.7</f>
        <v>50.7</v>
      </c>
      <c r="S16" s="26">
        <f>160.2-V16-U16-T16</f>
        <v>32.613</v>
      </c>
      <c r="T16" s="26">
        <v>55</v>
      </c>
      <c r="U16" s="26">
        <v>55.779000000000003</v>
      </c>
      <c r="V16" s="26">
        <f>72.587-U16</f>
        <v>16.808</v>
      </c>
      <c r="W16" s="26">
        <f>81.9-69.7</f>
        <v>12.200000000000003</v>
      </c>
      <c r="X16" s="26">
        <v>31.6</v>
      </c>
      <c r="AB16" s="33">
        <f>E12-I12</f>
        <v>161.88299999999992</v>
      </c>
      <c r="AC16" s="27">
        <f>F12-J12</f>
        <v>210.42599999999993</v>
      </c>
      <c r="AD16" s="33">
        <v>278.59999999999991</v>
      </c>
      <c r="AE16" s="33">
        <f>H12-L12</f>
        <v>447.38499999999999</v>
      </c>
      <c r="AF16" s="33">
        <f>I12-M12</f>
        <v>378.89800000000002</v>
      </c>
      <c r="AG16" s="14" t="s">
        <v>486</v>
      </c>
    </row>
    <row r="17" spans="1:33" s="21" customFormat="1">
      <c r="A17" s="21" t="s">
        <v>54</v>
      </c>
      <c r="B17" s="21">
        <f t="shared" ref="B17" si="1">+B16/B12</f>
        <v>0.24523849654474972</v>
      </c>
      <c r="C17" s="21">
        <f t="shared" ref="C17:H17" si="2">+C16/C12</f>
        <v>0.23130912222315755</v>
      </c>
      <c r="D17" s="21">
        <f t="shared" si="2"/>
        <v>0.25405405405405407</v>
      </c>
      <c r="E17" s="21">
        <f t="shared" si="2"/>
        <v>0.24846471358099265</v>
      </c>
      <c r="F17" s="21">
        <f t="shared" si="2"/>
        <v>0.17351641319240133</v>
      </c>
      <c r="G17" s="21">
        <f t="shared" si="2"/>
        <v>0.27750017845670633</v>
      </c>
      <c r="H17" s="21">
        <f t="shared" si="2"/>
        <v>0.21926283589585402</v>
      </c>
      <c r="I17" s="21">
        <f t="shared" ref="I17:X17" si="3">+I16/I12</f>
        <v>0.23538128279792209</v>
      </c>
      <c r="J17" s="21">
        <f t="shared" si="3"/>
        <v>0.22582945160064255</v>
      </c>
      <c r="K17" s="21">
        <f t="shared" si="3"/>
        <v>6.3445717494994724E-2</v>
      </c>
      <c r="L17" s="21">
        <f t="shared" si="3"/>
        <v>0.21392557875301804</v>
      </c>
      <c r="M17" s="21">
        <f t="shared" si="3"/>
        <v>0.13214914732862046</v>
      </c>
      <c r="N17" s="21">
        <f t="shared" si="3"/>
        <v>0.15892785519772495</v>
      </c>
      <c r="O17" s="21">
        <f t="shared" si="3"/>
        <v>0.23395785497873742</v>
      </c>
      <c r="P17" s="21">
        <f t="shared" si="3"/>
        <v>0.26158261582615816</v>
      </c>
      <c r="Q17" s="21">
        <f t="shared" si="3"/>
        <v>0.23700011058012727</v>
      </c>
      <c r="R17" s="21">
        <f t="shared" si="3"/>
        <v>0.19160780490017121</v>
      </c>
      <c r="S17" s="21">
        <f t="shared" si="3"/>
        <v>0.11368643417878609</v>
      </c>
      <c r="T17" s="21">
        <f t="shared" si="3"/>
        <v>0.22112330639649419</v>
      </c>
      <c r="U17" s="21">
        <f t="shared" si="3"/>
        <v>0.23011138613861387</v>
      </c>
      <c r="V17" s="21">
        <f t="shared" si="3"/>
        <v>0.10129755856491107</v>
      </c>
      <c r="W17" s="21">
        <f t="shared" si="3"/>
        <v>0.10100006622955163</v>
      </c>
      <c r="X17" s="21">
        <f t="shared" si="3"/>
        <v>0.22176061082416348</v>
      </c>
      <c r="AB17" s="33">
        <v>195.7</v>
      </c>
      <c r="AC17" s="33">
        <v>180.2</v>
      </c>
      <c r="AD17" s="33">
        <v>234.60000000000014</v>
      </c>
      <c r="AE17" s="33">
        <f>397.9</f>
        <v>397.9</v>
      </c>
      <c r="AF17" s="33">
        <f>354.4</f>
        <v>354.4</v>
      </c>
      <c r="AG17" s="21" t="s">
        <v>487</v>
      </c>
    </row>
    <row r="18" spans="1:33" s="24" customFormat="1">
      <c r="AB18" s="88">
        <f>AB16-AB17</f>
        <v>-33.817000000000064</v>
      </c>
      <c r="AC18" s="88">
        <f>AC16-AC17</f>
        <v>30.225999999999942</v>
      </c>
      <c r="AD18" s="88">
        <f>AD16-AD17</f>
        <v>43.999999999999773</v>
      </c>
      <c r="AE18" s="88">
        <f>AE16-AE17</f>
        <v>49.485000000000014</v>
      </c>
      <c r="AF18" s="88">
        <f>AF16-AF17</f>
        <v>24.498000000000047</v>
      </c>
      <c r="AG18" s="24" t="s">
        <v>488</v>
      </c>
    </row>
    <row r="19" spans="1:33"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row>
    <row r="20" spans="1:33" s="24" customFormat="1">
      <c r="A20" s="19" t="s">
        <v>56</v>
      </c>
      <c r="B20" s="20">
        <f>12.1+3.5</f>
        <v>15.6</v>
      </c>
      <c r="C20" s="20">
        <f>24.1+1.3</f>
        <v>25.400000000000002</v>
      </c>
      <c r="D20" s="20">
        <f>17.1+0.9</f>
        <v>18</v>
      </c>
      <c r="E20" s="20">
        <f>7.7+4.9+1.5</f>
        <v>14.100000000000001</v>
      </c>
      <c r="F20" s="20">
        <f>11.2+41.3+7.7</f>
        <v>60.2</v>
      </c>
      <c r="G20" s="20">
        <f>28.6+13.1</f>
        <v>41.7</v>
      </c>
      <c r="H20" s="20">
        <f>18.3+10.5</f>
        <v>28.8</v>
      </c>
      <c r="I20" s="20">
        <f>9.1+6.8</f>
        <v>15.899999999999999</v>
      </c>
      <c r="J20" s="20">
        <f>8.3+7</f>
        <v>15.3</v>
      </c>
      <c r="K20" s="20">
        <f>74.6+21.7-L20-M20-N20</f>
        <v>29.4</v>
      </c>
      <c r="L20" s="20">
        <f>50.9+16-M20-N20</f>
        <v>10.70000000000001</v>
      </c>
      <c r="M20" s="20">
        <f>10.4+45.8-N20</f>
        <v>41.199999999999996</v>
      </c>
      <c r="N20" s="20">
        <f>6+9</f>
        <v>15</v>
      </c>
      <c r="O20" s="20">
        <f>10.7+20.8-P20-Q20-R20</f>
        <v>11.499999999999998</v>
      </c>
      <c r="P20" s="20">
        <f>3+9.9+7.1-Q20-R20</f>
        <v>7.6</v>
      </c>
      <c r="Q20" s="20">
        <f>5+4.8+2.6-R20</f>
        <v>9.4</v>
      </c>
      <c r="R20" s="20">
        <f>0.3+2.7</f>
        <v>3</v>
      </c>
      <c r="S20" s="20">
        <f>9.1+11-V20-U20-T20</f>
        <v>13.060000000000002</v>
      </c>
      <c r="T20" s="20">
        <f>0.1+2.1</f>
        <v>2.2000000000000002</v>
      </c>
      <c r="U20" s="20">
        <f>0.086+2.783</f>
        <v>2.8689999999999998</v>
      </c>
      <c r="V20" s="20">
        <f>0.261+4.579-U20</f>
        <v>1.9710000000000001</v>
      </c>
      <c r="W20" s="20">
        <f>1.6+6.4-(1.2+5.4)</f>
        <v>1.3999999999999995</v>
      </c>
      <c r="X20" s="20">
        <f>0.4+2.2</f>
        <v>2.6</v>
      </c>
    </row>
    <row r="21" spans="1:33" s="24" customFormat="1">
      <c r="A21" s="19" t="s">
        <v>57</v>
      </c>
      <c r="B21" s="20">
        <f t="shared" ref="B21" si="4">B22-B16-B19-B20</f>
        <v>2.3092638912203256E-14</v>
      </c>
      <c r="C21" s="20">
        <v>0</v>
      </c>
      <c r="D21" s="20">
        <v>0</v>
      </c>
      <c r="E21" s="20">
        <v>0.6</v>
      </c>
      <c r="F21" s="20">
        <f t="shared" ref="F21:X21" si="5">F22-F16-F19-F20</f>
        <v>1.0000000000000426</v>
      </c>
      <c r="G21" s="20">
        <v>0</v>
      </c>
      <c r="H21" s="20">
        <v>0</v>
      </c>
      <c r="I21" s="20">
        <v>0.3</v>
      </c>
      <c r="J21" s="20">
        <f t="shared" si="5"/>
        <v>0.99999999999998224</v>
      </c>
      <c r="K21" s="20">
        <f t="shared" si="5"/>
        <v>66.099999999999994</v>
      </c>
      <c r="L21" s="20">
        <f t="shared" si="5"/>
        <v>1.0000000000000071</v>
      </c>
      <c r="M21" s="20">
        <f t="shared" si="5"/>
        <v>0</v>
      </c>
      <c r="N21" s="20">
        <f t="shared" si="5"/>
        <v>-2.1999999999999957</v>
      </c>
      <c r="O21" s="20">
        <f t="shared" si="5"/>
        <v>-14.200000000000015</v>
      </c>
      <c r="P21" s="20">
        <f t="shared" si="5"/>
        <v>-14.500000000000005</v>
      </c>
      <c r="Q21" s="20">
        <f t="shared" si="5"/>
        <v>-8.6999999999999833</v>
      </c>
      <c r="R21" s="20">
        <f t="shared" si="5"/>
        <v>0.59999999999999432</v>
      </c>
      <c r="S21" s="20">
        <f t="shared" si="5"/>
        <v>20.080999999999989</v>
      </c>
      <c r="T21" s="20">
        <f t="shared" si="5"/>
        <v>3.4000000000000012</v>
      </c>
      <c r="U21" s="20">
        <f t="shared" si="5"/>
        <v>4.7349999999999994</v>
      </c>
      <c r="V21" s="20">
        <f t="shared" si="5"/>
        <v>15.083999999999993</v>
      </c>
      <c r="W21" s="20">
        <f t="shared" si="5"/>
        <v>7.3999999999999977</v>
      </c>
      <c r="X21" s="20">
        <f t="shared" si="5"/>
        <v>4.0000000000000018</v>
      </c>
    </row>
    <row r="22" spans="1:33" s="17" customFormat="1">
      <c r="A22" s="17" t="s">
        <v>58</v>
      </c>
      <c r="B22" s="27">
        <v>306.60000000000002</v>
      </c>
      <c r="C22" s="27">
        <v>311.2</v>
      </c>
      <c r="D22" s="27">
        <v>281.2</v>
      </c>
      <c r="E22" s="27">
        <v>261.5</v>
      </c>
      <c r="F22" s="27">
        <v>222.8</v>
      </c>
      <c r="G22" s="27">
        <v>208.9</v>
      </c>
      <c r="H22" s="27">
        <v>225.7</v>
      </c>
      <c r="I22" s="27">
        <v>211.9</v>
      </c>
      <c r="J22" s="27">
        <f>179.1</f>
        <v>179.1</v>
      </c>
      <c r="K22" s="27">
        <f>409.3-L22-M22-N22</f>
        <v>134.69999999999999</v>
      </c>
      <c r="L22" s="27">
        <f>274.6-M22-N22</f>
        <v>108.10000000000002</v>
      </c>
      <c r="M22" s="27">
        <f>166.5-N22</f>
        <v>101</v>
      </c>
      <c r="N22" s="27">
        <v>65.5</v>
      </c>
      <c r="O22" s="27">
        <f>306.5-R22-Q22-P22</f>
        <v>83.40000000000002</v>
      </c>
      <c r="P22" s="27">
        <f>223.1-Q22-R22</f>
        <v>88.799999999999969</v>
      </c>
      <c r="Q22" s="27">
        <f>134.3-R22</f>
        <v>80.000000000000014</v>
      </c>
      <c r="R22" s="27">
        <v>54.3</v>
      </c>
      <c r="S22" s="27">
        <f>223.6-V22-U22-T22</f>
        <v>65.753999999999991</v>
      </c>
      <c r="T22" s="27">
        <v>60.6</v>
      </c>
      <c r="U22" s="27">
        <v>63.383000000000003</v>
      </c>
      <c r="V22" s="27">
        <f>97.246-U22</f>
        <v>33.862999999999992</v>
      </c>
      <c r="W22" s="27">
        <f>109.2-88.2</f>
        <v>21</v>
      </c>
      <c r="X22" s="27">
        <v>38.200000000000003</v>
      </c>
    </row>
    <row r="23" spans="1:33" s="17" customFormat="1">
      <c r="B23" s="21"/>
      <c r="C23" s="21"/>
      <c r="D23" s="21"/>
      <c r="E23" s="21"/>
      <c r="F23" s="21"/>
      <c r="G23" s="21"/>
      <c r="H23" s="21"/>
      <c r="I23" s="21"/>
      <c r="J23" s="21"/>
      <c r="K23" s="88"/>
      <c r="L23" s="88"/>
      <c r="M23" s="27"/>
      <c r="N23" s="27"/>
      <c r="O23" s="27"/>
      <c r="P23" s="27"/>
      <c r="Q23" s="27"/>
      <c r="R23" s="27"/>
      <c r="S23" s="27"/>
      <c r="T23" s="27"/>
      <c r="U23" s="27"/>
      <c r="V23" s="27"/>
      <c r="W23" s="27"/>
      <c r="X23" s="27"/>
    </row>
    <row r="24" spans="1:33" s="17" customFormat="1">
      <c r="A24" s="17" t="s">
        <v>59</v>
      </c>
      <c r="B24" s="27">
        <f t="shared" ref="B24:K24" si="6">SUM(B22:E22)</f>
        <v>1160.5</v>
      </c>
      <c r="C24" s="27">
        <f t="shared" si="6"/>
        <v>1076.7</v>
      </c>
      <c r="D24" s="27">
        <f t="shared" si="6"/>
        <v>974.4</v>
      </c>
      <c r="E24" s="27">
        <f t="shared" si="6"/>
        <v>918.90000000000009</v>
      </c>
      <c r="F24" s="27">
        <f t="shared" si="6"/>
        <v>869.30000000000007</v>
      </c>
      <c r="G24" s="27">
        <f t="shared" si="6"/>
        <v>825.6</v>
      </c>
      <c r="H24" s="27">
        <f t="shared" si="6"/>
        <v>751.40000000000009</v>
      </c>
      <c r="I24" s="27">
        <f t="shared" si="6"/>
        <v>633.80000000000007</v>
      </c>
      <c r="J24" s="27">
        <f t="shared" si="6"/>
        <v>522.9</v>
      </c>
      <c r="K24" s="27">
        <f t="shared" si="6"/>
        <v>409.3</v>
      </c>
      <c r="L24" s="46">
        <f>M24+L22-P22</f>
        <v>406.30000000000007</v>
      </c>
      <c r="M24" s="46">
        <v>387</v>
      </c>
      <c r="N24" s="27">
        <f t="shared" ref="N24:U24" si="7">SUM(N22:Q22)</f>
        <v>317.7</v>
      </c>
      <c r="O24" s="27">
        <f t="shared" si="7"/>
        <v>306.5</v>
      </c>
      <c r="P24" s="27">
        <f t="shared" si="7"/>
        <v>288.85399999999993</v>
      </c>
      <c r="Q24" s="27">
        <f t="shared" si="7"/>
        <v>260.654</v>
      </c>
      <c r="R24" s="27">
        <f t="shared" si="7"/>
        <v>244.03700000000001</v>
      </c>
      <c r="S24" s="27">
        <f t="shared" si="7"/>
        <v>223.6</v>
      </c>
      <c r="T24" s="27">
        <f t="shared" si="7"/>
        <v>178.846</v>
      </c>
      <c r="U24" s="27">
        <f t="shared" si="7"/>
        <v>156.446</v>
      </c>
      <c r="V24" s="27"/>
      <c r="W24" s="27"/>
      <c r="X24" s="27"/>
    </row>
    <row r="25" spans="1:33" s="24" customFormat="1">
      <c r="A25" s="19" t="s">
        <v>60</v>
      </c>
      <c r="B25" s="28">
        <v>0</v>
      </c>
      <c r="C25" s="28">
        <v>0</v>
      </c>
      <c r="D25" s="28">
        <v>0</v>
      </c>
      <c r="E25" s="28">
        <v>0</v>
      </c>
      <c r="F25" s="28">
        <v>0</v>
      </c>
      <c r="G25" s="28">
        <v>0</v>
      </c>
      <c r="H25" s="28">
        <v>0</v>
      </c>
      <c r="I25" s="28">
        <v>0</v>
      </c>
      <c r="J25" s="28">
        <v>0</v>
      </c>
      <c r="K25" s="28">
        <v>0</v>
      </c>
      <c r="L25" s="28">
        <v>0</v>
      </c>
      <c r="M25" s="28">
        <v>0</v>
      </c>
      <c r="N25" s="28">
        <v>0</v>
      </c>
      <c r="O25" s="28">
        <v>0</v>
      </c>
      <c r="P25" s="28">
        <v>0</v>
      </c>
      <c r="Q25" s="28">
        <v>0</v>
      </c>
      <c r="R25" s="28">
        <v>0</v>
      </c>
      <c r="S25" s="28">
        <v>0</v>
      </c>
      <c r="T25" s="28">
        <v>0</v>
      </c>
      <c r="U25" s="28">
        <v>0</v>
      </c>
      <c r="V25" s="28"/>
      <c r="W25" s="28"/>
      <c r="X25" s="28"/>
    </row>
    <row r="26" spans="1:33" s="24" customFormat="1">
      <c r="A26" s="19" t="s">
        <v>61</v>
      </c>
      <c r="B26" s="29">
        <f>1334.3-B25-B24</f>
        <v>173.79999999999995</v>
      </c>
      <c r="C26" s="29">
        <f>1315-C25-C24</f>
        <v>238.29999999999995</v>
      </c>
      <c r="D26" s="29">
        <f>1041.2-D25-D24</f>
        <v>66.800000000000068</v>
      </c>
      <c r="E26" s="29">
        <v>116.9</v>
      </c>
      <c r="F26" s="29">
        <f>1059.5-F25-F24</f>
        <v>190.19999999999993</v>
      </c>
      <c r="G26" s="29">
        <v>0</v>
      </c>
      <c r="H26" s="29">
        <f>I26/12*3</f>
        <v>34.893749999999997</v>
      </c>
      <c r="I26" s="29">
        <f>J26/12*6</f>
        <v>139.57499999999999</v>
      </c>
      <c r="J26" s="29">
        <f>K26/12*9</f>
        <v>279.14999999999998</v>
      </c>
      <c r="K26" s="29">
        <f>781.5-K25-K24</f>
        <v>372.2</v>
      </c>
      <c r="L26" s="29">
        <f>M26</f>
        <v>373</v>
      </c>
      <c r="M26" s="29">
        <f>M27-M24-M25</f>
        <v>373</v>
      </c>
      <c r="N26" s="29">
        <v>0</v>
      </c>
      <c r="O26" s="29">
        <v>0</v>
      </c>
      <c r="P26" s="29">
        <v>0</v>
      </c>
      <c r="Q26" s="29">
        <v>0</v>
      </c>
      <c r="R26" s="29">
        <v>0</v>
      </c>
      <c r="S26" s="29">
        <v>0</v>
      </c>
      <c r="T26" s="29">
        <v>0</v>
      </c>
      <c r="U26" s="29">
        <v>0</v>
      </c>
      <c r="V26" s="30"/>
      <c r="W26" s="30"/>
      <c r="X26" s="30"/>
    </row>
    <row r="27" spans="1:33" s="32" customFormat="1">
      <c r="A27" s="17" t="s">
        <v>62</v>
      </c>
      <c r="B27" s="65">
        <f t="shared" ref="B27:F27" si="8">B24+B25+B26</f>
        <v>1334.3</v>
      </c>
      <c r="C27" s="65">
        <f t="shared" si="8"/>
        <v>1315</v>
      </c>
      <c r="D27" s="65">
        <f t="shared" si="8"/>
        <v>1041.2</v>
      </c>
      <c r="E27" s="65">
        <f t="shared" si="8"/>
        <v>1035.8000000000002</v>
      </c>
      <c r="F27" s="65">
        <f t="shared" si="8"/>
        <v>1059.5</v>
      </c>
      <c r="G27" s="65">
        <f t="shared" ref="G27:L27" si="9">G24+G25+G26</f>
        <v>825.6</v>
      </c>
      <c r="H27" s="65">
        <f t="shared" si="9"/>
        <v>786.29375000000005</v>
      </c>
      <c r="I27" s="65">
        <f t="shared" si="9"/>
        <v>773.375</v>
      </c>
      <c r="J27" s="65">
        <f t="shared" si="9"/>
        <v>802.05</v>
      </c>
      <c r="K27" s="65">
        <f t="shared" si="9"/>
        <v>781.5</v>
      </c>
      <c r="L27" s="65">
        <f t="shared" si="9"/>
        <v>779.30000000000007</v>
      </c>
      <c r="M27" s="46">
        <v>760</v>
      </c>
      <c r="N27" s="27">
        <f t="shared" ref="N27:U27" si="10">SUM(N24:N26)</f>
        <v>317.7</v>
      </c>
      <c r="O27" s="27">
        <f t="shared" si="10"/>
        <v>306.5</v>
      </c>
      <c r="P27" s="27">
        <f t="shared" si="10"/>
        <v>288.85399999999993</v>
      </c>
      <c r="Q27" s="27">
        <f t="shared" si="10"/>
        <v>260.654</v>
      </c>
      <c r="R27" s="27">
        <f t="shared" si="10"/>
        <v>244.03700000000001</v>
      </c>
      <c r="S27" s="27">
        <f t="shared" si="10"/>
        <v>223.6</v>
      </c>
      <c r="T27" s="27">
        <f t="shared" si="10"/>
        <v>178.846</v>
      </c>
      <c r="U27" s="27">
        <f t="shared" si="10"/>
        <v>156.446</v>
      </c>
      <c r="V27" s="31"/>
      <c r="W27" s="31"/>
      <c r="X27" s="31"/>
    </row>
    <row r="28" spans="1:33" s="24" customFormat="1">
      <c r="K28" s="88"/>
      <c r="L28" s="88"/>
    </row>
    <row r="29" spans="1:33" s="17" customFormat="1">
      <c r="A29" s="27" t="str">
        <f t="shared" ref="A29:N29" si="11">A22</f>
        <v>PF EBITDA</v>
      </c>
      <c r="B29" s="27">
        <f t="shared" si="11"/>
        <v>306.60000000000002</v>
      </c>
      <c r="C29" s="27">
        <f t="shared" si="11"/>
        <v>311.2</v>
      </c>
      <c r="D29" s="27">
        <f t="shared" si="11"/>
        <v>281.2</v>
      </c>
      <c r="E29" s="27">
        <f t="shared" si="11"/>
        <v>261.5</v>
      </c>
      <c r="F29" s="27">
        <f t="shared" si="11"/>
        <v>222.8</v>
      </c>
      <c r="G29" s="27">
        <f t="shared" si="11"/>
        <v>208.9</v>
      </c>
      <c r="H29" s="27">
        <f t="shared" si="11"/>
        <v>225.7</v>
      </c>
      <c r="I29" s="27">
        <f t="shared" si="11"/>
        <v>211.9</v>
      </c>
      <c r="J29" s="27">
        <f t="shared" si="11"/>
        <v>179.1</v>
      </c>
      <c r="K29" s="27">
        <f t="shared" si="11"/>
        <v>134.69999999999999</v>
      </c>
      <c r="L29" s="27">
        <f t="shared" si="11"/>
        <v>108.10000000000002</v>
      </c>
      <c r="M29" s="27">
        <f t="shared" si="11"/>
        <v>101</v>
      </c>
      <c r="N29" s="27">
        <f t="shared" si="11"/>
        <v>65.5</v>
      </c>
      <c r="O29" s="27">
        <f t="shared" ref="O29:X29" si="12">O22</f>
        <v>83.40000000000002</v>
      </c>
      <c r="P29" s="27">
        <f t="shared" si="12"/>
        <v>88.799999999999969</v>
      </c>
      <c r="Q29" s="27">
        <f t="shared" si="12"/>
        <v>80.000000000000014</v>
      </c>
      <c r="R29" s="27">
        <f t="shared" si="12"/>
        <v>54.3</v>
      </c>
      <c r="S29" s="27">
        <f t="shared" si="12"/>
        <v>65.753999999999991</v>
      </c>
      <c r="T29" s="27">
        <f t="shared" si="12"/>
        <v>60.6</v>
      </c>
      <c r="U29" s="27">
        <f t="shared" si="12"/>
        <v>63.383000000000003</v>
      </c>
      <c r="V29" s="27">
        <f t="shared" si="12"/>
        <v>33.862999999999992</v>
      </c>
      <c r="W29" s="27">
        <f t="shared" si="12"/>
        <v>21</v>
      </c>
      <c r="X29" s="27">
        <f t="shared" si="12"/>
        <v>38.200000000000003</v>
      </c>
    </row>
    <row r="30" spans="1:33" s="33" customFormat="1">
      <c r="A30" s="20" t="s">
        <v>63</v>
      </c>
      <c r="B30" s="20">
        <v>-42</v>
      </c>
      <c r="C30" s="20">
        <f>-442.6-D30-E30-F30</f>
        <v>-161.71099999999998</v>
      </c>
      <c r="D30" s="20">
        <v>-36.299999999999997</v>
      </c>
      <c r="E30" s="20">
        <v>-84.9</v>
      </c>
      <c r="F30" s="20">
        <v>-159.68899999999999</v>
      </c>
      <c r="G30" s="20">
        <f>-343.7-H30-I30-J30</f>
        <v>-116.82</v>
      </c>
      <c r="H30" s="20">
        <v>-62.838999999999999</v>
      </c>
      <c r="I30" s="20">
        <v>-86.861999999999995</v>
      </c>
      <c r="J30" s="20">
        <v>-77.179000000000002</v>
      </c>
      <c r="K30" s="20">
        <f>-211.302-L30-M30-N30</f>
        <v>-59.083999999999975</v>
      </c>
      <c r="L30" s="20">
        <v>-28.33</v>
      </c>
      <c r="M30" s="20">
        <v>-79.245000000000005</v>
      </c>
      <c r="N30" s="20">
        <v>-44.643000000000001</v>
      </c>
      <c r="O30" s="20">
        <f>-131.812-R30-Q30-P30</f>
        <v>-24.187000000000012</v>
      </c>
      <c r="P30" s="20">
        <v>-32.11</v>
      </c>
      <c r="Q30" s="20">
        <f>-32.921-0.305</f>
        <v>-33.225999999999999</v>
      </c>
      <c r="R30" s="20">
        <v>-42.289000000000001</v>
      </c>
      <c r="S30" s="20">
        <f>-105.712+1.54-V30-U30-T30</f>
        <v>-27.822999999999993</v>
      </c>
      <c r="T30" s="20">
        <f>-28.102-0.462</f>
        <v>-28.564</v>
      </c>
      <c r="U30" s="20">
        <f>-24.275-0.28</f>
        <v>-24.555</v>
      </c>
      <c r="V30" s="20">
        <f>-47.179-0.606-U30</f>
        <v>-23.230000000000004</v>
      </c>
      <c r="W30" s="20">
        <f>-41.741-1.334+29.964+1.106</f>
        <v>-12.005000000000004</v>
      </c>
      <c r="X30" s="20">
        <f>-11.436-0.472</f>
        <v>-11.907999999999999</v>
      </c>
    </row>
    <row r="31" spans="1:33" s="33" customFormat="1">
      <c r="A31" s="20" t="s">
        <v>64</v>
      </c>
      <c r="B31" s="20">
        <v>-0.2</v>
      </c>
      <c r="C31" s="20">
        <f>4.3-D31-E31-F31</f>
        <v>-1.027000000000001</v>
      </c>
      <c r="D31" s="20">
        <v>9.3000000000000007</v>
      </c>
      <c r="E31" s="20">
        <v>-0.8</v>
      </c>
      <c r="F31" s="20">
        <v>-3.173</v>
      </c>
      <c r="G31" s="20">
        <f>-4.1-H31-I31-J31</f>
        <v>-2.7999999999999803E-2</v>
      </c>
      <c r="H31" s="20">
        <v>-2.2229999999999999</v>
      </c>
      <c r="I31" s="20">
        <v>-1.849</v>
      </c>
      <c r="J31" s="20">
        <v>0</v>
      </c>
      <c r="K31" s="20">
        <f>0.303-L31-M31-N31</f>
        <v>0.26200000000000001</v>
      </c>
      <c r="L31" s="20">
        <v>0.72799999999999998</v>
      </c>
      <c r="M31" s="20">
        <v>-0.29399999999999998</v>
      </c>
      <c r="N31" s="20">
        <v>-0.39300000000000002</v>
      </c>
      <c r="O31" s="20">
        <f>-1.201-R31-Q31-P31</f>
        <v>1.105</v>
      </c>
      <c r="P31" s="20">
        <v>-3.488</v>
      </c>
      <c r="Q31" s="20">
        <v>-0.71399999999999997</v>
      </c>
      <c r="R31" s="20">
        <v>1.8959999999999999</v>
      </c>
      <c r="S31" s="20">
        <f>-6.966-V31-U31-T31</f>
        <v>-3.573</v>
      </c>
      <c r="T31" s="20">
        <v>-3.1720000000000002</v>
      </c>
      <c r="U31" s="20">
        <v>-6.0000000000000001E-3</v>
      </c>
      <c r="V31" s="20">
        <f>-0.221-U31</f>
        <v>-0.215</v>
      </c>
      <c r="W31" s="20">
        <f>-1.874+1.874</f>
        <v>0</v>
      </c>
      <c r="X31" s="20">
        <v>-0.95699999999999996</v>
      </c>
    </row>
    <row r="32" spans="1:33" s="33" customFormat="1">
      <c r="A32" s="20" t="s">
        <v>65</v>
      </c>
      <c r="B32" s="20">
        <v>-34.1</v>
      </c>
      <c r="C32" s="20">
        <f>5.2-D32-E32-F32</f>
        <v>56.599999999999994</v>
      </c>
      <c r="D32" s="20">
        <v>31.1</v>
      </c>
      <c r="E32" s="20">
        <v>-28.5</v>
      </c>
      <c r="F32" s="20">
        <v>-54</v>
      </c>
      <c r="G32" s="20">
        <f>-74.9-H32-I32-J32</f>
        <v>127.16499999999999</v>
      </c>
      <c r="H32" s="20">
        <v>-48.076000000000001</v>
      </c>
      <c r="I32" s="20">
        <v>-54.191000000000003</v>
      </c>
      <c r="J32" s="20">
        <v>-99.798000000000002</v>
      </c>
      <c r="K32" s="20">
        <f>17.713-L32-M32-N32</f>
        <v>111.179</v>
      </c>
      <c r="L32" s="20">
        <v>-42.716000000000001</v>
      </c>
      <c r="M32" s="20">
        <v>-24.707999999999998</v>
      </c>
      <c r="N32" s="20">
        <v>-26.042000000000002</v>
      </c>
      <c r="O32" s="20">
        <f>-30.158-P32-Q32-R32</f>
        <v>-13.373000000000005</v>
      </c>
      <c r="P32" s="20">
        <v>-32.448999999999998</v>
      </c>
      <c r="Q32" s="20">
        <f>-33.986-2.626-0.22-1.684+88.339-4.191+10.985+0.486+0.547</f>
        <v>57.65</v>
      </c>
      <c r="R32" s="20">
        <v>-41.985999999999997</v>
      </c>
      <c r="S32" s="20">
        <f>21.917-V32-U32-T32</f>
        <v>14.047000000000004</v>
      </c>
      <c r="T32" s="20">
        <f>-8.807-0.373-0.343-0.115+6.26+5.489-0.21-0.512</f>
        <v>1.3889999999999998</v>
      </c>
      <c r="U32" s="20">
        <f>-30.131-3.063-0.318+0.48+9.419+0.238-3.683-3.055</f>
        <v>-30.113000000000003</v>
      </c>
      <c r="V32" s="20">
        <f>-30.676+9.451-0.318+0.1+36.723+0.159-2.101-6.857-U32</f>
        <v>36.594000000000001</v>
      </c>
      <c r="W32" s="20">
        <f>5.277-(-8.474-4.835+0.799+15.909+1.175-0.896)</f>
        <v>1.5990000000000011</v>
      </c>
      <c r="X32" s="20">
        <f>-7.658-1.5+0.502+19.987-0.387-0.404</f>
        <v>10.539999999999997</v>
      </c>
    </row>
    <row r="33" spans="1:29" s="33" customFormat="1">
      <c r="A33" s="20" t="s">
        <v>66</v>
      </c>
      <c r="B33" s="20">
        <f t="shared" ref="B33:F33" si="13">-B19-B20-B21</f>
        <v>-15.600000000000023</v>
      </c>
      <c r="C33" s="20">
        <f t="shared" ref="C33" si="14">-C19-C20-C21</f>
        <v>-25.400000000000002</v>
      </c>
      <c r="D33" s="20">
        <f t="shared" si="13"/>
        <v>-18</v>
      </c>
      <c r="E33" s="20">
        <f t="shared" si="13"/>
        <v>-14.700000000000001</v>
      </c>
      <c r="F33" s="20">
        <f t="shared" si="13"/>
        <v>-61.200000000000045</v>
      </c>
      <c r="G33" s="20">
        <f t="shared" ref="G33:L33" si="15">-G19-G20-G21</f>
        <v>-41.7</v>
      </c>
      <c r="H33" s="20">
        <f t="shared" si="15"/>
        <v>-28.8</v>
      </c>
      <c r="I33" s="20">
        <f t="shared" si="15"/>
        <v>-16.2</v>
      </c>
      <c r="J33" s="20">
        <f t="shared" si="15"/>
        <v>-16.299999999999983</v>
      </c>
      <c r="K33" s="20">
        <f t="shared" si="15"/>
        <v>-95.5</v>
      </c>
      <c r="L33" s="20">
        <f t="shared" si="15"/>
        <v>-11.700000000000017</v>
      </c>
      <c r="M33" s="20">
        <f t="shared" ref="M33:X33" si="16">-M19-M20-M21</f>
        <v>-41.199999999999996</v>
      </c>
      <c r="N33" s="20">
        <f t="shared" si="16"/>
        <v>-12.800000000000004</v>
      </c>
      <c r="O33" s="20">
        <f t="shared" si="16"/>
        <v>2.7000000000000171</v>
      </c>
      <c r="P33" s="20">
        <f t="shared" si="16"/>
        <v>6.9000000000000057</v>
      </c>
      <c r="Q33" s="20">
        <f t="shared" si="16"/>
        <v>-0.70000000000001705</v>
      </c>
      <c r="R33" s="20">
        <f t="shared" si="16"/>
        <v>-3.5999999999999943</v>
      </c>
      <c r="S33" s="20">
        <f t="shared" si="16"/>
        <v>-33.140999999999991</v>
      </c>
      <c r="T33" s="20">
        <f t="shared" si="16"/>
        <v>-5.6000000000000014</v>
      </c>
      <c r="U33" s="20">
        <f t="shared" si="16"/>
        <v>-7.6039999999999992</v>
      </c>
      <c r="V33" s="20">
        <f t="shared" si="16"/>
        <v>-17.054999999999993</v>
      </c>
      <c r="W33" s="20">
        <f t="shared" si="16"/>
        <v>-8.7999999999999972</v>
      </c>
      <c r="X33" s="20">
        <f t="shared" si="16"/>
        <v>-6.6000000000000014</v>
      </c>
    </row>
    <row r="34" spans="1:29" s="33" customFormat="1">
      <c r="A34" s="20" t="s">
        <v>57</v>
      </c>
      <c r="B34" s="29">
        <f t="shared" ref="B34:F34" si="17">B35-B29-B30-B31-B32-B33</f>
        <v>14.899999999999999</v>
      </c>
      <c r="C34" s="29">
        <f t="shared" ref="C34" si="18">C35-C29-C30-C31-C32-C33</f>
        <v>-16.161999999999995</v>
      </c>
      <c r="D34" s="29">
        <f t="shared" si="17"/>
        <v>-10.600000000000005</v>
      </c>
      <c r="E34" s="29">
        <f t="shared" si="17"/>
        <v>-0.40000000000000746</v>
      </c>
      <c r="F34" s="29">
        <f t="shared" si="17"/>
        <v>171.86200000000002</v>
      </c>
      <c r="G34" s="29">
        <f t="shared" ref="G34" si="19">G35-G29-G30-G31-G32-G33</f>
        <v>-44.51700000000001</v>
      </c>
      <c r="H34" s="29">
        <f t="shared" ref="H34:X34" si="20">H35-H29-H30-H31-H32-H33</f>
        <v>-2.1369999999999898</v>
      </c>
      <c r="I34" s="29">
        <f t="shared" si="20"/>
        <v>2.9430000000000085</v>
      </c>
      <c r="J34" s="29">
        <f t="shared" si="20"/>
        <v>-5.1890000000000214</v>
      </c>
      <c r="K34" s="29">
        <f t="shared" si="20"/>
        <v>60.124999999999972</v>
      </c>
      <c r="L34" s="29">
        <f t="shared" si="20"/>
        <v>-7.173000000000016</v>
      </c>
      <c r="M34" s="29">
        <f t="shared" si="20"/>
        <v>-12.991999999999997</v>
      </c>
      <c r="N34" s="29">
        <f t="shared" si="20"/>
        <v>-0.16399999999999437</v>
      </c>
      <c r="O34" s="29">
        <f t="shared" si="20"/>
        <v>27.36999999999998</v>
      </c>
      <c r="P34" s="29">
        <f t="shared" si="20"/>
        <v>-17.58899999999997</v>
      </c>
      <c r="Q34" s="29">
        <f t="shared" si="20"/>
        <v>-29.393999999999998</v>
      </c>
      <c r="R34" s="29">
        <f t="shared" si="20"/>
        <v>-2.649000000000008</v>
      </c>
      <c r="S34" s="29">
        <f t="shared" si="20"/>
        <v>9.4849999999999923</v>
      </c>
      <c r="T34" s="29">
        <f t="shared" si="20"/>
        <v>-1.4819999999999993</v>
      </c>
      <c r="U34" s="29">
        <f t="shared" si="20"/>
        <v>-1.5119999999999969</v>
      </c>
      <c r="V34" s="29">
        <f t="shared" si="20"/>
        <v>5.6350000000000016</v>
      </c>
      <c r="W34" s="29">
        <f t="shared" si="20"/>
        <v>1.2700000000000005</v>
      </c>
      <c r="X34" s="29">
        <f t="shared" si="20"/>
        <v>1.1659999999999995</v>
      </c>
    </row>
    <row r="35" spans="1:29" s="27" customFormat="1">
      <c r="A35" s="27" t="s">
        <v>67</v>
      </c>
      <c r="B35" s="27">
        <v>229.6</v>
      </c>
      <c r="C35" s="27">
        <v>163.5</v>
      </c>
      <c r="D35" s="27">
        <v>256.7</v>
      </c>
      <c r="E35" s="27">
        <v>132.19999999999999</v>
      </c>
      <c r="F35" s="27">
        <v>116.6</v>
      </c>
      <c r="G35" s="27">
        <f>251-H35-I35-J35</f>
        <v>133</v>
      </c>
      <c r="H35" s="27">
        <f>118-I35-J35</f>
        <v>81.625</v>
      </c>
      <c r="I35" s="27">
        <v>55.741</v>
      </c>
      <c r="J35" s="27">
        <v>-19.366</v>
      </c>
      <c r="K35" s="27">
        <f>94.61-L35-M35-N35</f>
        <v>151.68199999999999</v>
      </c>
      <c r="L35" s="27">
        <f>-57.072-M35-N35</f>
        <v>18.908999999999999</v>
      </c>
      <c r="M35" s="27">
        <v>-57.439</v>
      </c>
      <c r="N35" s="27">
        <v>-18.542000000000002</v>
      </c>
      <c r="O35" s="27">
        <f>126.367-P35-Q35-R35</f>
        <v>77.015000000000001</v>
      </c>
      <c r="P35" s="27">
        <f>49.352-Q35-R35</f>
        <v>10.064</v>
      </c>
      <c r="Q35" s="27">
        <f>39.288-R35</f>
        <v>73.616</v>
      </c>
      <c r="R35" s="27">
        <v>-34.328000000000003</v>
      </c>
      <c r="S35" s="27">
        <f>83.105-V35-U35-T35</f>
        <v>24.749000000000002</v>
      </c>
      <c r="T35" s="27">
        <v>23.170999999999999</v>
      </c>
      <c r="U35" s="27">
        <v>-0.40699999999999997</v>
      </c>
      <c r="V35" s="27">
        <f>35.185-U35</f>
        <v>35.591999999999999</v>
      </c>
      <c r="W35" s="27">
        <f>44.186-41.122</f>
        <v>3.0640000000000001</v>
      </c>
      <c r="X35" s="27">
        <v>30.440999999999999</v>
      </c>
    </row>
    <row r="36" spans="1:29" s="33" customFormat="1">
      <c r="A36" s="20" t="s">
        <v>68</v>
      </c>
      <c r="B36" s="29">
        <v>-127.5</v>
      </c>
      <c r="C36" s="29">
        <f>-428.3-D36-E36-F36</f>
        <v>-123.10000000000001</v>
      </c>
      <c r="D36" s="29">
        <v>-85.7</v>
      </c>
      <c r="E36" s="29">
        <v>-119.8</v>
      </c>
      <c r="F36" s="29">
        <v>-99.7</v>
      </c>
      <c r="G36" s="29">
        <f>-457.8-H36-I36-J36</f>
        <v>-143.85300000000001</v>
      </c>
      <c r="H36" s="29">
        <f>-313.947-I36-J36</f>
        <v>-107.07000000000001</v>
      </c>
      <c r="I36" s="29">
        <v>-107.297</v>
      </c>
      <c r="J36" s="29">
        <v>-99.58</v>
      </c>
      <c r="K36" s="29">
        <f>-212.536-L36-M36-N36</f>
        <v>-88.388999999999982</v>
      </c>
      <c r="L36" s="29">
        <f>-124.147-M36-N36</f>
        <v>-56.710000000000008</v>
      </c>
      <c r="M36" s="29">
        <v>-45.353000000000002</v>
      </c>
      <c r="N36" s="29">
        <v>-22.084</v>
      </c>
      <c r="O36" s="29">
        <f>-203.141-R36-Q36-P36</f>
        <v>-71.106999999999999</v>
      </c>
      <c r="P36" s="29">
        <f>-132.034-Q36-R36</f>
        <v>-78.753999999999991</v>
      </c>
      <c r="Q36" s="29">
        <f>-53.28-R36</f>
        <v>-36.46</v>
      </c>
      <c r="R36" s="29">
        <v>-16.82</v>
      </c>
      <c r="S36" s="29">
        <f>-123.748-V36-U36-T36</f>
        <v>-39.631000000000007</v>
      </c>
      <c r="T36" s="29">
        <v>-23.274000000000001</v>
      </c>
      <c r="U36" s="29">
        <v>-37.639000000000003</v>
      </c>
      <c r="V36" s="29">
        <f>-60.843-U36</f>
        <v>-23.204000000000001</v>
      </c>
      <c r="W36" s="29">
        <f>-57.178+37.823</f>
        <v>-19.354999999999997</v>
      </c>
      <c r="X36" s="29">
        <v>-10.372</v>
      </c>
    </row>
    <row r="37" spans="1:29" s="27" customFormat="1">
      <c r="A37" s="27" t="s">
        <v>69</v>
      </c>
      <c r="B37" s="27">
        <f t="shared" ref="B37:X37" si="21">+B35+B36</f>
        <v>102.1</v>
      </c>
      <c r="C37" s="27">
        <f t="shared" si="21"/>
        <v>40.399999999999991</v>
      </c>
      <c r="D37" s="27">
        <f t="shared" si="21"/>
        <v>171</v>
      </c>
      <c r="E37" s="27">
        <f t="shared" si="21"/>
        <v>12.399999999999991</v>
      </c>
      <c r="F37" s="27">
        <f t="shared" si="21"/>
        <v>16.899999999999991</v>
      </c>
      <c r="G37" s="27">
        <f t="shared" si="21"/>
        <v>-10.853000000000009</v>
      </c>
      <c r="H37" s="27">
        <f t="shared" si="21"/>
        <v>-25.445000000000007</v>
      </c>
      <c r="I37" s="27">
        <f t="shared" si="21"/>
        <v>-51.555999999999997</v>
      </c>
      <c r="J37" s="27">
        <f t="shared" si="21"/>
        <v>-118.946</v>
      </c>
      <c r="K37" s="27">
        <f t="shared" si="21"/>
        <v>63.293000000000006</v>
      </c>
      <c r="L37" s="27">
        <f t="shared" si="21"/>
        <v>-37.801000000000009</v>
      </c>
      <c r="M37" s="27">
        <f t="shared" si="21"/>
        <v>-102.792</v>
      </c>
      <c r="N37" s="27">
        <f t="shared" si="21"/>
        <v>-40.626000000000005</v>
      </c>
      <c r="O37" s="27">
        <f t="shared" si="21"/>
        <v>5.9080000000000013</v>
      </c>
      <c r="P37" s="27">
        <f t="shared" si="21"/>
        <v>-68.69</v>
      </c>
      <c r="Q37" s="27">
        <f t="shared" si="21"/>
        <v>37.155999999999999</v>
      </c>
      <c r="R37" s="27">
        <f t="shared" si="21"/>
        <v>-51.148000000000003</v>
      </c>
      <c r="S37" s="27">
        <f t="shared" si="21"/>
        <v>-14.882000000000005</v>
      </c>
      <c r="T37" s="27">
        <f t="shared" si="21"/>
        <v>-0.10300000000000153</v>
      </c>
      <c r="U37" s="27">
        <f t="shared" si="21"/>
        <v>-38.045999999999999</v>
      </c>
      <c r="V37" s="27">
        <f t="shared" si="21"/>
        <v>12.387999999999998</v>
      </c>
      <c r="W37" s="27">
        <f t="shared" si="21"/>
        <v>-16.290999999999997</v>
      </c>
      <c r="X37" s="27">
        <f t="shared" si="21"/>
        <v>20.068999999999999</v>
      </c>
    </row>
    <row r="39" spans="1:29" s="35" customFormat="1">
      <c r="A39" s="34" t="s">
        <v>70</v>
      </c>
      <c r="B39" s="20">
        <v>243.9</v>
      </c>
      <c r="C39" s="20">
        <v>148.80000000000001</v>
      </c>
      <c r="D39" s="20">
        <v>20</v>
      </c>
      <c r="E39" s="20">
        <v>0</v>
      </c>
      <c r="F39" s="20">
        <v>0</v>
      </c>
      <c r="G39" s="20">
        <v>0</v>
      </c>
      <c r="H39" s="20">
        <v>296.58199999999999</v>
      </c>
      <c r="I39" s="20">
        <v>9.7569999999999997</v>
      </c>
      <c r="J39" s="20">
        <f>419.722-419.722</f>
        <v>0</v>
      </c>
      <c r="K39" s="20">
        <v>199.21700000000001</v>
      </c>
      <c r="L39" s="20">
        <f>M39</f>
        <v>0</v>
      </c>
      <c r="M39" s="20">
        <v>0</v>
      </c>
      <c r="N39" s="20">
        <v>74.353999999999999</v>
      </c>
      <c r="O39" s="20">
        <v>210.24299999999999</v>
      </c>
      <c r="P39" s="20">
        <v>223.30500000000001</v>
      </c>
      <c r="Q39" s="20">
        <v>83.132999999999996</v>
      </c>
      <c r="R39" s="20">
        <v>92.805000000000007</v>
      </c>
      <c r="S39" s="20">
        <v>43.24</v>
      </c>
      <c r="T39" s="20">
        <v>55</v>
      </c>
      <c r="U39" s="20"/>
      <c r="V39" s="20"/>
      <c r="W39" s="20"/>
      <c r="X39" s="20"/>
      <c r="AB39" s="33"/>
    </row>
    <row r="40" spans="1:29" s="35" customFormat="1">
      <c r="A40" s="34" t="s">
        <v>71</v>
      </c>
      <c r="B40" s="20">
        <f>1646.9+628.8+943.1+628.8+943.1+5</f>
        <v>4795.7</v>
      </c>
      <c r="C40" s="20">
        <f>1671.6+636.6+954.9+636.6+954.9+9.2</f>
        <v>4863.7999999999993</v>
      </c>
      <c r="D40" s="20">
        <f>2744.2+667+1000.4+667+8.2</f>
        <v>5086.7999999999993</v>
      </c>
      <c r="E40" s="20">
        <f>2803.6+681.4+681.4+8</f>
        <v>4174.3999999999996</v>
      </c>
      <c r="F40" s="20">
        <f>2918.611+9.496+709.35+2.555</f>
        <v>3640.0119999999997</v>
      </c>
      <c r="G40" s="20">
        <f>3351.22+9.465+649.4+3.153</f>
        <v>4013.2379999999998</v>
      </c>
      <c r="H40" s="20">
        <f>3425.689+13.776</f>
        <v>3439.4649999999997</v>
      </c>
      <c r="I40" s="20">
        <f>3393.905+13.986</f>
        <v>3407.8910000000001</v>
      </c>
      <c r="J40" s="20">
        <f>3474.233+19.641</f>
        <v>3493.8740000000003</v>
      </c>
      <c r="K40" s="20">
        <f>3555.703+19.937+64.397</f>
        <v>3640.0369999999998</v>
      </c>
      <c r="L40" s="20">
        <f>M40</f>
        <v>2961</v>
      </c>
      <c r="M40" s="20">
        <f>1183+53+1725</f>
        <v>2961</v>
      </c>
      <c r="N40" s="20">
        <f>128.05+469.922+3.377+14.23+12.101</f>
        <v>627.67999999999995</v>
      </c>
      <c r="O40" s="20">
        <f>128.375+458.364+3.383+5.761+13.355</f>
        <v>609.23800000000006</v>
      </c>
      <c r="P40" s="20">
        <f>457.142+128.7</f>
        <v>585.84199999999998</v>
      </c>
      <c r="Q40" s="20">
        <f>476.547+129.025+5.756+14.379+3.421</f>
        <v>629.12800000000004</v>
      </c>
      <c r="R40" s="20">
        <f>129.65+490.449+5.773+3.439+14.843</f>
        <v>644.154</v>
      </c>
      <c r="S40" s="20">
        <f>129.675+495.556+5.79+3.458+13.982</f>
        <v>648.4609999999999</v>
      </c>
      <c r="T40" s="20">
        <f>615.588+0.078+3.5+20.171</f>
        <v>639.33699999999999</v>
      </c>
      <c r="U40" s="20"/>
      <c r="V40" s="20"/>
      <c r="W40" s="20"/>
      <c r="X40" s="20"/>
      <c r="Z40" s="33"/>
      <c r="AA40" s="35" t="s">
        <v>403</v>
      </c>
    </row>
    <row r="41" spans="1:29" s="35" customFormat="1">
      <c r="A41" s="34" t="s">
        <v>72</v>
      </c>
      <c r="B41" s="20">
        <f>B39+B40+452.7+628.8</f>
        <v>6121.0999999999995</v>
      </c>
      <c r="C41" s="20">
        <f>C39+C40+458.4+636.6</f>
        <v>6107.5999999999995</v>
      </c>
      <c r="D41" s="20">
        <f>D39+D40+540.2+480.2</f>
        <v>6127.1999999999989</v>
      </c>
      <c r="E41" s="20">
        <f>E39+E40+551.9+490.6</f>
        <v>5216.8999999999996</v>
      </c>
      <c r="F41" s="20">
        <f>F39+F40+574.574+510.732+(500*1.4166)</f>
        <v>5433.6179999999995</v>
      </c>
      <c r="G41" s="20">
        <v>6667.7370000000001</v>
      </c>
      <c r="H41" s="20">
        <f>H39+H40+463.505+529.72+529.72+794.58+24.342+3.153+0.1</f>
        <v>6081.1670000000004</v>
      </c>
      <c r="I41" s="20">
        <f>I39+I40+458.045+523.48+523.48+785.22+24.413+3.153+0.1</f>
        <v>5735.5390000000007</v>
      </c>
      <c r="J41" s="20">
        <f>J39+J40+467.705+534.52+534.52+24.343+3.153+0.1+(600*1.33)</f>
        <v>5856.2150000000011</v>
      </c>
      <c r="K41" s="20">
        <f>K39+K40+477.47+545.68+545.68+24.454+3.153+0.1</f>
        <v>5435.7910000000011</v>
      </c>
      <c r="L41" s="20">
        <f>M41</f>
        <v>5020</v>
      </c>
      <c r="M41" s="20">
        <v>5020</v>
      </c>
      <c r="N41" s="20">
        <f>N39+N40+515.76+644.7+451.29+24.287</f>
        <v>2338.0709999999999</v>
      </c>
      <c r="O41" s="20">
        <f>O39+O40+627.25+439.075+25+0.15</f>
        <v>1910.9560000000001</v>
      </c>
      <c r="P41" s="20">
        <f>P39+P40+624+56.7+436.8+43.575</f>
        <v>1970.222</v>
      </c>
      <c r="Q41" s="20">
        <f>1849.78+5.756+14.379+3.421+25</f>
        <v>1898.336</v>
      </c>
      <c r="R41" s="20">
        <f>6.268+0.382+2.615+1672.312+28.639+5.391+12.228</f>
        <v>1727.835</v>
      </c>
      <c r="S41" s="20">
        <f>6.268+0.366+2.29+1626.69+28.658+5.424+11.692</f>
        <v>1681.3879999999999</v>
      </c>
      <c r="T41" s="20">
        <f>1633.882+28.7+17.905+2.266+0.078+6.908</f>
        <v>1689.739</v>
      </c>
      <c r="U41" s="20"/>
      <c r="V41" s="20"/>
      <c r="W41" s="20"/>
      <c r="X41" s="20"/>
      <c r="Z41" s="33"/>
      <c r="AA41" s="33">
        <f>40*1.256</f>
        <v>50.24</v>
      </c>
    </row>
    <row r="42" spans="1:29" s="35" customFormat="1">
      <c r="A42" s="34" t="s">
        <v>73</v>
      </c>
      <c r="B42" s="36">
        <f t="shared" ref="B42:K42" si="22">C42</f>
        <v>4455</v>
      </c>
      <c r="C42" s="36">
        <f t="shared" si="22"/>
        <v>4455</v>
      </c>
      <c r="D42" s="36">
        <f t="shared" si="22"/>
        <v>4455</v>
      </c>
      <c r="E42" s="36">
        <f t="shared" si="22"/>
        <v>4455</v>
      </c>
      <c r="F42" s="36">
        <f t="shared" si="22"/>
        <v>4455</v>
      </c>
      <c r="G42" s="36">
        <f t="shared" si="22"/>
        <v>4455</v>
      </c>
      <c r="H42" s="36">
        <f t="shared" si="22"/>
        <v>4455</v>
      </c>
      <c r="I42" s="36">
        <f t="shared" si="22"/>
        <v>4455</v>
      </c>
      <c r="J42" s="36">
        <f t="shared" si="22"/>
        <v>4455</v>
      </c>
      <c r="K42" s="36">
        <f t="shared" si="22"/>
        <v>4455</v>
      </c>
      <c r="L42" s="36">
        <f>M42</f>
        <v>4455</v>
      </c>
      <c r="M42" s="36">
        <v>4455</v>
      </c>
      <c r="N42" s="36">
        <f t="shared" ref="N42:T42" si="23">1577-432</f>
        <v>1145</v>
      </c>
      <c r="O42" s="36">
        <f t="shared" si="23"/>
        <v>1145</v>
      </c>
      <c r="P42" s="36">
        <f t="shared" si="23"/>
        <v>1145</v>
      </c>
      <c r="Q42" s="36">
        <f t="shared" si="23"/>
        <v>1145</v>
      </c>
      <c r="R42" s="36">
        <f t="shared" si="23"/>
        <v>1145</v>
      </c>
      <c r="S42" s="36">
        <f t="shared" si="23"/>
        <v>1145</v>
      </c>
      <c r="T42" s="36">
        <f t="shared" si="23"/>
        <v>1145</v>
      </c>
      <c r="U42" s="36"/>
      <c r="V42" s="36"/>
      <c r="W42" s="36"/>
      <c r="X42" s="36"/>
      <c r="Z42" s="35" t="s">
        <v>306</v>
      </c>
      <c r="AA42" s="33">
        <f>628+AA41-AC42</f>
        <v>434.34000000000003</v>
      </c>
      <c r="AC42" s="33">
        <f>B39</f>
        <v>243.9</v>
      </c>
    </row>
    <row r="43" spans="1:29">
      <c r="B43" s="33"/>
      <c r="C43" s="33"/>
      <c r="D43" s="33"/>
      <c r="E43" s="33"/>
      <c r="F43" s="33"/>
      <c r="G43" s="33"/>
      <c r="H43" s="33"/>
      <c r="I43" s="33"/>
      <c r="J43" s="33"/>
      <c r="K43" s="35"/>
      <c r="L43" s="35"/>
      <c r="M43" s="35"/>
      <c r="N43" s="35"/>
      <c r="O43" s="35"/>
      <c r="P43" s="35"/>
      <c r="Q43" s="35"/>
      <c r="R43" s="35"/>
      <c r="S43" s="35"/>
      <c r="Z43" s="14" t="s">
        <v>74</v>
      </c>
      <c r="AA43" s="33">
        <f>B44</f>
        <v>11.1</v>
      </c>
    </row>
    <row r="44" spans="1:29">
      <c r="A44" s="19" t="s">
        <v>74</v>
      </c>
      <c r="B44" s="28">
        <v>11.1</v>
      </c>
      <c r="C44" s="28">
        <v>27.2</v>
      </c>
      <c r="D44" s="28">
        <v>1817.2</v>
      </c>
      <c r="E44" s="28">
        <v>723.9</v>
      </c>
      <c r="F44" s="28">
        <f>91.356+(500*1.4166)</f>
        <v>799.65600000000006</v>
      </c>
      <c r="G44" s="28">
        <v>574.78700000000003</v>
      </c>
      <c r="H44" s="28">
        <v>0</v>
      </c>
      <c r="I44" s="28">
        <v>209.27799999999999</v>
      </c>
      <c r="J44" s="28">
        <v>378.27800000000002</v>
      </c>
      <c r="K44" s="28">
        <v>7.415</v>
      </c>
      <c r="L44" s="28">
        <f>M44</f>
        <v>6</v>
      </c>
      <c r="M44" s="28">
        <v>6</v>
      </c>
      <c r="N44" s="28">
        <v>5.15</v>
      </c>
      <c r="O44" s="28">
        <v>0</v>
      </c>
      <c r="P44" s="28">
        <v>6.492</v>
      </c>
      <c r="Q44" s="28">
        <v>21.669</v>
      </c>
      <c r="R44" s="28">
        <v>0</v>
      </c>
      <c r="S44" s="28">
        <v>14.494999999999999</v>
      </c>
      <c r="T44" s="28">
        <v>73.533000000000001</v>
      </c>
      <c r="U44" s="28"/>
      <c r="V44" s="28"/>
      <c r="W44" s="28"/>
      <c r="X44" s="28"/>
      <c r="AA44" s="33">
        <f>AA42+AA43</f>
        <v>445.44000000000005</v>
      </c>
      <c r="AB44" s="17"/>
    </row>
    <row r="45" spans="1:29">
      <c r="L45" s="33"/>
    </row>
    <row r="46" spans="1:29">
      <c r="A46" s="14" t="s">
        <v>75</v>
      </c>
      <c r="B46" s="58">
        <f t="shared" ref="B46:H46" si="24">SUM(B12:E12)</f>
        <v>4451.4759999999997</v>
      </c>
      <c r="C46" s="58">
        <f t="shared" si="24"/>
        <v>4196.1999999999989</v>
      </c>
      <c r="D46" s="58">
        <f t="shared" si="24"/>
        <v>3857.2</v>
      </c>
      <c r="E46" s="58">
        <f t="shared" si="24"/>
        <v>3719.2089999999998</v>
      </c>
      <c r="F46" s="58">
        <f t="shared" si="24"/>
        <v>3557.326</v>
      </c>
      <c r="G46" s="58">
        <f t="shared" si="24"/>
        <v>3346.9</v>
      </c>
      <c r="H46" s="58">
        <f t="shared" si="24"/>
        <v>3068.1750000000002</v>
      </c>
      <c r="I46" s="58">
        <f>((I12+J12+K12)/3)*4</f>
        <v>2893.5546666666669</v>
      </c>
      <c r="J46" s="58">
        <f>SUM(J12:M12)+(987/12*7.5)</f>
        <v>2858.7669999999998</v>
      </c>
      <c r="K46" s="58">
        <f>SUM(K12:N12)+(987/12*10.5)</f>
        <v>2716.2159999999999</v>
      </c>
      <c r="L46" s="58">
        <f>M46+L12-P12</f>
        <v>2884.7739999999999</v>
      </c>
      <c r="M46" s="51">
        <v>2800</v>
      </c>
      <c r="N46" s="33">
        <f t="shared" ref="N46:U46" si="25">SUM(N12:Q12)</f>
        <v>1400.0609999999999</v>
      </c>
      <c r="O46" s="33">
        <f t="shared" si="25"/>
        <v>1333.067</v>
      </c>
      <c r="P46" s="33">
        <f t="shared" si="25"/>
        <v>1251.92</v>
      </c>
      <c r="Q46" s="33">
        <f t="shared" si="25"/>
        <v>1134.8</v>
      </c>
      <c r="R46" s="33">
        <f t="shared" si="25"/>
        <v>1042.6010000000001</v>
      </c>
      <c r="S46" s="33">
        <f t="shared" si="25"/>
        <v>943.92499999999995</v>
      </c>
      <c r="T46" s="33">
        <f t="shared" si="25"/>
        <v>777.84900000000005</v>
      </c>
      <c r="U46" s="33">
        <f t="shared" si="25"/>
        <v>671.61500000000001</v>
      </c>
    </row>
    <row r="47" spans="1:29">
      <c r="A47" s="14" t="s">
        <v>76</v>
      </c>
      <c r="B47" s="33">
        <f t="shared" ref="B47" si="26">+B27</f>
        <v>1334.3</v>
      </c>
      <c r="C47" s="33">
        <f t="shared" ref="C47:D47" si="27">+C27</f>
        <v>1315</v>
      </c>
      <c r="D47" s="33">
        <f t="shared" si="27"/>
        <v>1041.2</v>
      </c>
      <c r="E47" s="33">
        <f t="shared" ref="E47:F47" si="28">+E27</f>
        <v>1035.8000000000002</v>
      </c>
      <c r="F47" s="33">
        <f t="shared" si="28"/>
        <v>1059.5</v>
      </c>
      <c r="G47" s="33">
        <f t="shared" ref="G47:L47" si="29">+G27</f>
        <v>825.6</v>
      </c>
      <c r="H47" s="33">
        <f t="shared" si="29"/>
        <v>786.29375000000005</v>
      </c>
      <c r="I47" s="33">
        <f t="shared" si="29"/>
        <v>773.375</v>
      </c>
      <c r="J47" s="33">
        <f t="shared" si="29"/>
        <v>802.05</v>
      </c>
      <c r="K47" s="33">
        <f t="shared" si="29"/>
        <v>781.5</v>
      </c>
      <c r="L47" s="33">
        <f t="shared" si="29"/>
        <v>779.30000000000007</v>
      </c>
      <c r="M47" s="58">
        <f>M27</f>
        <v>760</v>
      </c>
      <c r="N47" s="33">
        <f>+N27</f>
        <v>317.7</v>
      </c>
      <c r="O47" s="33">
        <f>+O27</f>
        <v>306.5</v>
      </c>
      <c r="P47" s="33">
        <f t="shared" ref="P47:U47" si="30">+P27</f>
        <v>288.85399999999993</v>
      </c>
      <c r="Q47" s="33">
        <f t="shared" si="30"/>
        <v>260.654</v>
      </c>
      <c r="R47" s="33">
        <f t="shared" si="30"/>
        <v>244.03700000000001</v>
      </c>
      <c r="S47" s="33">
        <f t="shared" si="30"/>
        <v>223.6</v>
      </c>
      <c r="T47" s="33">
        <f t="shared" si="30"/>
        <v>178.846</v>
      </c>
      <c r="U47" s="33">
        <f t="shared" si="30"/>
        <v>156.446</v>
      </c>
      <c r="AC47" s="90"/>
    </row>
    <row r="48" spans="1:29">
      <c r="A48" s="14" t="s">
        <v>77</v>
      </c>
      <c r="B48" s="33">
        <f t="shared" ref="B48:H48" si="31">SUM(B37:E37)</f>
        <v>325.89999999999998</v>
      </c>
      <c r="C48" s="33">
        <f t="shared" si="31"/>
        <v>240.69999999999993</v>
      </c>
      <c r="D48" s="33">
        <f t="shared" si="31"/>
        <v>189.44699999999995</v>
      </c>
      <c r="E48" s="33">
        <f t="shared" si="31"/>
        <v>-6.9980000000000331</v>
      </c>
      <c r="F48" s="33">
        <f t="shared" si="31"/>
        <v>-70.954000000000022</v>
      </c>
      <c r="G48" s="33">
        <f t="shared" si="31"/>
        <v>-206.8</v>
      </c>
      <c r="H48" s="33">
        <f t="shared" si="31"/>
        <v>-132.654</v>
      </c>
      <c r="I48" s="33">
        <f>J48+I37+M37</f>
        <v>-232.37110000000004</v>
      </c>
      <c r="J48" s="33">
        <f>K48+J37+N37</f>
        <v>-78.023100000000042</v>
      </c>
      <c r="K48" s="33">
        <f>L48+K37+O37</f>
        <v>81.548899999999961</v>
      </c>
      <c r="L48" s="33">
        <f>M48+L37+P37</f>
        <v>12.347899999999953</v>
      </c>
      <c r="M48" s="51">
        <v>118.83889999999997</v>
      </c>
      <c r="N48" s="33">
        <f t="shared" ref="N48:U48" si="32">+SUM(N37:Q37)</f>
        <v>-66.25200000000001</v>
      </c>
      <c r="O48" s="33">
        <f t="shared" si="32"/>
        <v>-76.774000000000001</v>
      </c>
      <c r="P48" s="33">
        <f t="shared" si="32"/>
        <v>-97.564000000000007</v>
      </c>
      <c r="Q48" s="33">
        <f t="shared" si="32"/>
        <v>-28.977000000000011</v>
      </c>
      <c r="R48" s="33">
        <f t="shared" si="32"/>
        <v>-104.179</v>
      </c>
      <c r="S48" s="33">
        <f t="shared" si="32"/>
        <v>-40.643000000000008</v>
      </c>
      <c r="T48" s="33">
        <f t="shared" si="32"/>
        <v>-42.052</v>
      </c>
      <c r="U48" s="33">
        <f t="shared" si="32"/>
        <v>-21.88</v>
      </c>
      <c r="AC48" s="90"/>
    </row>
    <row r="49" spans="1:29">
      <c r="B49" s="50"/>
      <c r="C49" s="50"/>
      <c r="D49" s="50"/>
      <c r="E49" s="50"/>
      <c r="F49" s="50"/>
      <c r="G49" s="50"/>
      <c r="H49" s="50"/>
      <c r="I49" s="50"/>
      <c r="J49" s="50"/>
      <c r="K49" s="50"/>
      <c r="L49" s="50"/>
      <c r="AC49" s="90"/>
    </row>
    <row r="50" spans="1:29" s="37" customFormat="1">
      <c r="A50" s="37" t="s">
        <v>78</v>
      </c>
      <c r="B50" s="37">
        <f t="shared" ref="B50:C50" si="33">+SUM(B39:B40)/B47</f>
        <v>3.7769617027654947</v>
      </c>
      <c r="C50" s="37">
        <f t="shared" si="33"/>
        <v>3.8118631178707219</v>
      </c>
      <c r="D50" s="37">
        <f t="shared" ref="D50:E50" si="34">+SUM(D39:D40)/D47</f>
        <v>4.9047253169419891</v>
      </c>
      <c r="E50" s="37">
        <f t="shared" si="34"/>
        <v>4.0301216451052317</v>
      </c>
      <c r="F50" s="37">
        <f t="shared" ref="F50:G50" si="35">+SUM(F39:F40)/F47</f>
        <v>3.4355941481831049</v>
      </c>
      <c r="G50" s="37">
        <f t="shared" si="35"/>
        <v>4.8609956395348837</v>
      </c>
      <c r="H50" s="37">
        <f t="shared" ref="H50:I50" si="36">+SUM(H39:H40)/H47</f>
        <v>4.751464703871803</v>
      </c>
      <c r="I50" s="37">
        <f t="shared" si="36"/>
        <v>4.4191343138839505</v>
      </c>
      <c r="J50" s="37">
        <f t="shared" ref="J50:K50" si="37">+SUM(J39:J40)/J47</f>
        <v>4.3561797892899454</v>
      </c>
      <c r="K50" s="37">
        <f t="shared" si="37"/>
        <v>4.9126730646193213</v>
      </c>
      <c r="L50" s="37">
        <f t="shared" ref="L50:M50" si="38">+SUM(L39:L40)/L47</f>
        <v>3.7995637110227123</v>
      </c>
      <c r="M50" s="37">
        <f t="shared" si="38"/>
        <v>3.8960526315789474</v>
      </c>
      <c r="N50" s="37">
        <f t="shared" ref="N50:T50" si="39">+SUM(N39:N40)/N47</f>
        <v>2.2097387472458294</v>
      </c>
      <c r="O50" s="37">
        <f t="shared" si="39"/>
        <v>2.6736737357259379</v>
      </c>
      <c r="P50" s="37">
        <f t="shared" si="39"/>
        <v>2.8012317641438238</v>
      </c>
      <c r="Q50" s="37">
        <f t="shared" si="39"/>
        <v>2.7325918650778429</v>
      </c>
      <c r="R50" s="37">
        <f t="shared" si="39"/>
        <v>3.0198658400160632</v>
      </c>
      <c r="S50" s="37">
        <f t="shared" si="39"/>
        <v>3.0934749552772804</v>
      </c>
      <c r="T50" s="37">
        <f t="shared" si="39"/>
        <v>3.8823177482303208</v>
      </c>
      <c r="AB50" s="14"/>
      <c r="AC50" s="90"/>
    </row>
    <row r="51" spans="1:29" s="37" customFormat="1">
      <c r="A51" s="37" t="s">
        <v>79</v>
      </c>
      <c r="B51" s="37">
        <f t="shared" ref="B51:C51" si="40">+B41/B47</f>
        <v>4.5874990631791945</v>
      </c>
      <c r="C51" s="37">
        <f t="shared" si="40"/>
        <v>4.6445627376425849</v>
      </c>
      <c r="D51" s="37">
        <f t="shared" ref="D51:E51" si="41">+D41/D47</f>
        <v>5.8847483672685348</v>
      </c>
      <c r="E51" s="37">
        <f t="shared" si="41"/>
        <v>5.0365900753041117</v>
      </c>
      <c r="F51" s="37">
        <f t="shared" ref="F51:G51" si="42">+F41/F47</f>
        <v>5.1284738084001882</v>
      </c>
      <c r="G51" s="37">
        <f t="shared" si="42"/>
        <v>8.0762318313953489</v>
      </c>
      <c r="H51" s="37">
        <f t="shared" ref="H51:I51" si="43">+H41/H47</f>
        <v>7.7339632929805182</v>
      </c>
      <c r="I51" s="37">
        <f t="shared" si="43"/>
        <v>7.4162456764182974</v>
      </c>
      <c r="J51" s="37">
        <f t="shared" ref="J51:K51" si="44">+J41/J47</f>
        <v>7.3015585063275372</v>
      </c>
      <c r="K51" s="37">
        <f t="shared" si="44"/>
        <v>6.9555866922584784</v>
      </c>
      <c r="L51" s="37">
        <f t="shared" ref="L51:T51" si="45">+L41/L47</f>
        <v>6.4416784293596816</v>
      </c>
      <c r="M51" s="37">
        <f t="shared" si="45"/>
        <v>6.6052631578947372</v>
      </c>
      <c r="N51" s="37">
        <f t="shared" si="45"/>
        <v>7.359367327667611</v>
      </c>
      <c r="O51" s="37">
        <f t="shared" si="45"/>
        <v>6.2347667210440463</v>
      </c>
      <c r="P51" s="37">
        <f t="shared" si="45"/>
        <v>6.8208229763132948</v>
      </c>
      <c r="Q51" s="37">
        <f t="shared" si="45"/>
        <v>7.2829728298817589</v>
      </c>
      <c r="R51" s="37">
        <f t="shared" si="45"/>
        <v>7.080217344091265</v>
      </c>
      <c r="S51" s="37">
        <f t="shared" si="45"/>
        <v>7.5196243291592131</v>
      </c>
      <c r="T51" s="37">
        <f t="shared" si="45"/>
        <v>9.4480111380740972</v>
      </c>
      <c r="AC51" s="90"/>
    </row>
    <row r="52" spans="1:29" s="37" customFormat="1">
      <c r="A52" s="37" t="s">
        <v>80</v>
      </c>
      <c r="B52" s="37">
        <f t="shared" ref="B52:C52" si="46">+(B41-B44)/B47</f>
        <v>4.5791800944315364</v>
      </c>
      <c r="C52" s="37">
        <f t="shared" si="46"/>
        <v>4.6238783269961976</v>
      </c>
      <c r="D52" s="37">
        <f t="shared" ref="D52:E52" si="47">+(D41-D44)/D47</f>
        <v>4.1394544756050697</v>
      </c>
      <c r="E52" s="37">
        <f t="shared" si="47"/>
        <v>4.337709982622127</v>
      </c>
      <c r="F52" s="37">
        <f t="shared" ref="F52:G52" si="48">+(F41-F44)/F47</f>
        <v>4.37372534214252</v>
      </c>
      <c r="G52" s="37">
        <f t="shared" si="48"/>
        <v>7.3800266472868215</v>
      </c>
      <c r="H52" s="37">
        <f t="shared" ref="H52:I52" si="49">+(H41-H44)/H47</f>
        <v>7.7339632929805182</v>
      </c>
      <c r="I52" s="37">
        <f t="shared" si="49"/>
        <v>7.145642152901245</v>
      </c>
      <c r="J52" s="37">
        <f t="shared" ref="J52:K52" si="50">+(J41-J44)/J47</f>
        <v>6.8299195810735007</v>
      </c>
      <c r="K52" s="37">
        <f t="shared" si="50"/>
        <v>6.9460985284708912</v>
      </c>
      <c r="L52" s="37">
        <f t="shared" ref="L52:T52" si="51">+(L41-L44)/L47</f>
        <v>6.4339792121134343</v>
      </c>
      <c r="M52" s="37">
        <f t="shared" si="51"/>
        <v>6.5973684210526313</v>
      </c>
      <c r="N52" s="37">
        <f t="shared" si="51"/>
        <v>7.3431570664148564</v>
      </c>
      <c r="O52" s="37">
        <f t="shared" si="51"/>
        <v>6.2347667210440463</v>
      </c>
      <c r="P52" s="37">
        <f t="shared" si="51"/>
        <v>6.7983479543298708</v>
      </c>
      <c r="Q52" s="37">
        <f t="shared" si="51"/>
        <v>7.1998396341510196</v>
      </c>
      <c r="R52" s="37">
        <f t="shared" si="51"/>
        <v>7.080217344091265</v>
      </c>
      <c r="S52" s="37">
        <f t="shared" si="51"/>
        <v>7.4547987477638644</v>
      </c>
      <c r="T52" s="37">
        <f t="shared" si="51"/>
        <v>9.0368585263299153</v>
      </c>
    </row>
    <row r="53" spans="1:29" s="38" customFormat="1">
      <c r="A53" s="38" t="s">
        <v>81</v>
      </c>
      <c r="B53" s="38">
        <f t="shared" ref="B53:C53" si="52">+B48/B41</f>
        <v>5.3242064334841778E-2</v>
      </c>
      <c r="C53" s="38">
        <f t="shared" si="52"/>
        <v>3.9409915515095942E-2</v>
      </c>
      <c r="D53" s="38">
        <f t="shared" ref="D53:E53" si="53">+D48/D41</f>
        <v>3.0919016842929883E-2</v>
      </c>
      <c r="E53" s="38">
        <f t="shared" si="53"/>
        <v>-1.341409649408659E-3</v>
      </c>
      <c r="F53" s="38">
        <f t="shared" ref="F53:G53" si="54">+F48/F41</f>
        <v>-1.3058334244328553E-2</v>
      </c>
      <c r="G53" s="38">
        <f t="shared" si="54"/>
        <v>-3.1015020538452554E-2</v>
      </c>
      <c r="H53" s="38">
        <f t="shared" ref="H53:I53" si="55">+H48/H41</f>
        <v>-2.1813905127091558E-2</v>
      </c>
      <c r="I53" s="38">
        <f t="shared" si="55"/>
        <v>-4.0514256811783514E-2</v>
      </c>
      <c r="J53" s="38">
        <f t="shared" ref="J53:K53" si="56">+J48/J41</f>
        <v>-1.3323127651563344E-2</v>
      </c>
      <c r="K53" s="38">
        <f t="shared" si="56"/>
        <v>1.5002214029200156E-2</v>
      </c>
      <c r="L53" s="38">
        <f t="shared" ref="L53:T53" si="57">+L48/L41</f>
        <v>2.4597410358565643E-3</v>
      </c>
      <c r="M53" s="38">
        <f t="shared" si="57"/>
        <v>2.3673087649402385E-2</v>
      </c>
      <c r="N53" s="38">
        <f t="shared" si="57"/>
        <v>-2.8336179696852665E-2</v>
      </c>
      <c r="O53" s="38">
        <f t="shared" si="57"/>
        <v>-4.0175702632609014E-2</v>
      </c>
      <c r="P53" s="38">
        <f t="shared" si="57"/>
        <v>-4.9519292749751045E-2</v>
      </c>
      <c r="Q53" s="38">
        <f t="shared" si="57"/>
        <v>-1.5264421050857178E-2</v>
      </c>
      <c r="R53" s="38">
        <f t="shared" si="57"/>
        <v>-6.0294530438380976E-2</v>
      </c>
      <c r="S53" s="38">
        <f t="shared" si="57"/>
        <v>-2.4172290988159789E-2</v>
      </c>
      <c r="T53" s="38">
        <f t="shared" si="57"/>
        <v>-2.4886683683101353E-2</v>
      </c>
    </row>
    <row r="54" spans="1:29" s="38" customFormat="1">
      <c r="A54" s="39" t="s">
        <v>82</v>
      </c>
      <c r="B54" s="40"/>
      <c r="C54" s="40"/>
      <c r="D54" s="40"/>
      <c r="E54" s="40"/>
      <c r="F54" s="40"/>
      <c r="G54" s="40"/>
      <c r="H54" s="40"/>
      <c r="I54" s="40"/>
      <c r="J54" s="40"/>
      <c r="K54" s="40"/>
      <c r="L54" s="40"/>
      <c r="M54" s="40"/>
      <c r="N54" s="40"/>
      <c r="O54" s="40"/>
      <c r="P54" s="40"/>
      <c r="Q54" s="40"/>
      <c r="R54" s="40"/>
      <c r="S54" s="40"/>
      <c r="T54" s="40"/>
      <c r="U54" s="40"/>
      <c r="V54" s="39"/>
      <c r="W54" s="39"/>
      <c r="X54" s="39"/>
    </row>
    <row r="55" spans="1:29" s="38" customFormat="1">
      <c r="A55" s="38" t="s">
        <v>83</v>
      </c>
      <c r="B55" s="41">
        <f t="shared" ref="B55:C55" si="58">IF(B42=0,IF(B54="","","*"&amp;TEXT(B54,"0.0x")),(B41+B42-B44)/B47)</f>
        <v>7.9180094431537125</v>
      </c>
      <c r="C55" s="41">
        <f t="shared" si="58"/>
        <v>8.0117110266159681</v>
      </c>
      <c r="D55" s="41">
        <f t="shared" ref="D55:E55" si="59">IF(D42=0,IF(D54="","","*"&amp;TEXT(D54,"0.0x")),(D41+D42-D44)/D47)</f>
        <v>8.418171340760658</v>
      </c>
      <c r="E55" s="41">
        <f t="shared" si="59"/>
        <v>8.6387333462058304</v>
      </c>
      <c r="F55" s="41">
        <f t="shared" ref="F55:G55" si="60">IF(F42=0,IF(F54="","","*"&amp;TEXT(F54,"0.0x")),(F41+F42-F44)/F47)</f>
        <v>8.5785389334591766</v>
      </c>
      <c r="G55" s="41">
        <f t="shared" si="60"/>
        <v>12.776102228682172</v>
      </c>
      <c r="H55" s="41">
        <f t="shared" ref="H55:I55" si="61">IF(H42=0,IF(H54="","","*"&amp;TEXT(H54,"0.0x")),(H41+H42-H44)/H47)</f>
        <v>13.39978474965622</v>
      </c>
      <c r="I55" s="41">
        <f t="shared" si="61"/>
        <v>12.906107645062228</v>
      </c>
      <c r="J55" s="41">
        <f t="shared" ref="J55:O55" si="62">IF(J42=0,IF(J54="","","*"&amp;TEXT(J54,"0.0x")),(J41+J42-J44)/J47)</f>
        <v>12.384436132410698</v>
      </c>
      <c r="K55" s="41">
        <f t="shared" si="62"/>
        <v>12.646674344209853</v>
      </c>
      <c r="L55" s="41">
        <f t="shared" si="62"/>
        <v>12.150648017451559</v>
      </c>
      <c r="M55" s="41">
        <f t="shared" si="62"/>
        <v>12.45921052631579</v>
      </c>
      <c r="N55" s="41">
        <f t="shared" si="62"/>
        <v>10.947186024551463</v>
      </c>
      <c r="O55" s="41">
        <f t="shared" si="62"/>
        <v>9.9704926590538339</v>
      </c>
      <c r="P55" s="41">
        <f t="shared" ref="P55:U55" si="63">IF(P42=0,IF(P54="","","*"&amp;TEXT(P54,"0.0x")),(P41+P42-P44)/P47)</f>
        <v>10.762288214807482</v>
      </c>
      <c r="Q55" s="41">
        <f t="shared" si="63"/>
        <v>11.592636215059045</v>
      </c>
      <c r="R55" s="41">
        <f t="shared" si="63"/>
        <v>11.77212881653192</v>
      </c>
      <c r="S55" s="41">
        <f t="shared" si="63"/>
        <v>12.575550089445439</v>
      </c>
      <c r="T55" s="41">
        <f t="shared" si="63"/>
        <v>15.439014571195331</v>
      </c>
      <c r="U55" s="41" t="str">
        <f t="shared" si="63"/>
        <v/>
      </c>
      <c r="V55" s="41" t="str">
        <f>IF(V42=0,IF(V54="","",CONCATENATE("* ",V54,"x")),(V41+V42-V44)/V47)</f>
        <v/>
      </c>
      <c r="W55" s="41" t="str">
        <f>IF(W42=0,IF(W54="","",CONCATENATE("* ",W54,"x")),(W41+W42-W44)/W47)</f>
        <v/>
      </c>
      <c r="X55" s="41" t="str">
        <f>IF(X42=0,IF(X54="","",CONCATENATE("* ",X54,"x")),(X41+X42-X44)/X47)</f>
        <v/>
      </c>
    </row>
    <row r="56" spans="1:29">
      <c r="U56" s="42"/>
    </row>
    <row r="57" spans="1:29" ht="110.4">
      <c r="A57" s="43" t="s">
        <v>84</v>
      </c>
      <c r="B57" s="44" t="s">
        <v>402</v>
      </c>
      <c r="C57" s="44" t="s">
        <v>402</v>
      </c>
      <c r="D57" s="44" t="s">
        <v>402</v>
      </c>
      <c r="E57" s="44" t="s">
        <v>402</v>
      </c>
      <c r="F57" s="44" t="s">
        <v>402</v>
      </c>
      <c r="G57" s="44" t="s">
        <v>402</v>
      </c>
      <c r="H57" s="44" t="s">
        <v>402</v>
      </c>
      <c r="I57" s="44" t="s">
        <v>402</v>
      </c>
      <c r="J57" s="44" t="s">
        <v>402</v>
      </c>
      <c r="K57" s="44" t="s">
        <v>402</v>
      </c>
      <c r="L57" s="44" t="s">
        <v>404</v>
      </c>
      <c r="M57" s="44" t="s">
        <v>404</v>
      </c>
      <c r="N57" s="44"/>
      <c r="O57" s="44"/>
      <c r="P57" s="44"/>
      <c r="Q57" s="44"/>
      <c r="R57" s="44"/>
      <c r="S57" s="44"/>
      <c r="T57" s="44"/>
      <c r="U57" s="44"/>
      <c r="V57" s="44"/>
      <c r="W57" s="44"/>
      <c r="X57" s="44"/>
    </row>
    <row r="58" spans="1:29">
      <c r="A58" s="45"/>
      <c r="B58" s="42"/>
      <c r="C58" s="42"/>
      <c r="D58" s="42"/>
      <c r="E58" s="42"/>
      <c r="F58" s="42"/>
      <c r="G58" s="42"/>
      <c r="H58" s="42"/>
      <c r="I58" s="42"/>
      <c r="J58" s="42"/>
      <c r="K58" s="42"/>
      <c r="L58" s="42"/>
      <c r="M58" s="42"/>
      <c r="N58" s="42"/>
      <c r="O58" s="42"/>
      <c r="P58" s="42"/>
      <c r="Q58" s="42"/>
    </row>
    <row r="59" spans="1:29">
      <c r="A59" s="45"/>
    </row>
  </sheetData>
  <pageMargins left="0.7" right="0.7" top="0.75" bottom="0.75" header="0.3" footer="0.3"/>
  <pageSetup orientation="portrait" r:id="rId1"/>
  <ignoredErrors>
    <ignoredError sqref="L47:M47" formula="1"/>
    <ignoredError sqref="C24:F26 B24" formulaRange="1"/>
  </ignoredErrors>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Y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20" width="10.6640625" style="14" customWidth="1"/>
    <col min="21" max="16384" width="9.109375" style="14"/>
  </cols>
  <sheetData>
    <row r="2" spans="1:22">
      <c r="A2" s="13" t="s">
        <v>44</v>
      </c>
      <c r="B2" s="14" t="s">
        <v>204</v>
      </c>
    </row>
    <row r="3" spans="1:22" s="16" customFormat="1">
      <c r="A3" s="15" t="s">
        <v>45</v>
      </c>
      <c r="B3" s="16" t="s">
        <v>203</v>
      </c>
    </row>
    <row r="4" spans="1:22">
      <c r="A4" s="13" t="s">
        <v>2</v>
      </c>
      <c r="B4" s="14" t="s">
        <v>4</v>
      </c>
    </row>
    <row r="5" spans="1:22">
      <c r="A5" s="13" t="s">
        <v>46</v>
      </c>
    </row>
    <row r="6" spans="1:22">
      <c r="A6" s="13" t="s">
        <v>47</v>
      </c>
      <c r="B6" s="14">
        <v>3</v>
      </c>
    </row>
    <row r="7" spans="1:22">
      <c r="A7" s="13" t="s">
        <v>48</v>
      </c>
      <c r="B7" s="14" t="s">
        <v>448</v>
      </c>
    </row>
    <row r="8" spans="1:22">
      <c r="A8" s="13" t="s">
        <v>347</v>
      </c>
      <c r="B8" s="14" t="s">
        <v>386</v>
      </c>
    </row>
    <row r="9" spans="1:22">
      <c r="A9" s="17"/>
    </row>
    <row r="10" spans="1:22">
      <c r="A10" s="17" t="s">
        <v>49</v>
      </c>
      <c r="B10" s="18">
        <v>44377</v>
      </c>
      <c r="C10" s="18">
        <v>44286</v>
      </c>
      <c r="D10" s="18">
        <v>44196</v>
      </c>
      <c r="E10" s="18">
        <v>44104</v>
      </c>
      <c r="F10" s="18">
        <v>44012</v>
      </c>
      <c r="G10" s="18">
        <v>43921</v>
      </c>
      <c r="H10" s="18">
        <v>43830</v>
      </c>
      <c r="I10" s="18">
        <v>43738</v>
      </c>
      <c r="J10" s="18">
        <v>43646</v>
      </c>
      <c r="K10" s="18">
        <v>43555</v>
      </c>
      <c r="L10" s="18">
        <v>43465</v>
      </c>
      <c r="M10" s="18">
        <v>43373</v>
      </c>
      <c r="N10" s="18">
        <v>43281</v>
      </c>
      <c r="O10" s="18">
        <v>43190</v>
      </c>
      <c r="P10" s="18">
        <v>43100</v>
      </c>
      <c r="Q10" s="18">
        <v>43008</v>
      </c>
      <c r="R10" s="18">
        <f t="shared" ref="R10:T10" si="0">EOMONTH(Q10,-3)</f>
        <v>42916</v>
      </c>
      <c r="S10" s="18">
        <f t="shared" si="0"/>
        <v>42825</v>
      </c>
      <c r="T10" s="18">
        <f t="shared" si="0"/>
        <v>42735</v>
      </c>
    </row>
    <row r="12" spans="1:22">
      <c r="A12" s="19" t="s">
        <v>50</v>
      </c>
      <c r="B12" s="20">
        <v>330.75</v>
      </c>
      <c r="C12" s="20">
        <v>304.39699999999999</v>
      </c>
      <c r="D12" s="20">
        <f>1224.361-E12-F12-G12</f>
        <v>338.00999999999993</v>
      </c>
      <c r="E12" s="20">
        <v>286.98700000000002</v>
      </c>
      <c r="F12" s="20">
        <v>280.71800000000002</v>
      </c>
      <c r="G12" s="20">
        <v>318.64600000000002</v>
      </c>
      <c r="H12" s="20">
        <f>1790.793-I12-J12-K12</f>
        <v>414.61199999999985</v>
      </c>
      <c r="I12" s="20">
        <v>420.79700000000003</v>
      </c>
      <c r="J12" s="20">
        <v>480.39</v>
      </c>
      <c r="K12" s="20">
        <v>474.99400000000003</v>
      </c>
      <c r="L12" s="20">
        <f>1895.91-M12-N12-O12</f>
        <v>532.78899999999999</v>
      </c>
      <c r="M12" s="20">
        <f>454.89</f>
        <v>454.89</v>
      </c>
      <c r="N12" s="20">
        <v>456.33199999999999</v>
      </c>
      <c r="O12" s="20">
        <v>451.899</v>
      </c>
      <c r="P12" s="20">
        <f>550.771-S12-R12-Q12</f>
        <v>192.47299999999996</v>
      </c>
      <c r="Q12" s="20">
        <v>137.245</v>
      </c>
      <c r="R12" s="20">
        <v>116.31399999999999</v>
      </c>
      <c r="S12" s="20">
        <v>104.739</v>
      </c>
      <c r="T12" s="20">
        <v>115.43300000000005</v>
      </c>
    </row>
    <row r="13" spans="1:22" s="21" customFormat="1">
      <c r="A13" s="21" t="s">
        <v>51</v>
      </c>
      <c r="B13" s="21">
        <f t="shared" ref="B13:P13" si="1">+B12/F12-1</f>
        <v>0.17822868501485467</v>
      </c>
      <c r="C13" s="21">
        <f t="shared" si="1"/>
        <v>-4.4717335224669474E-2</v>
      </c>
      <c r="D13" s="21">
        <f t="shared" si="1"/>
        <v>-0.18475586813695688</v>
      </c>
      <c r="E13" s="21">
        <f t="shared" si="1"/>
        <v>-0.31799181077811867</v>
      </c>
      <c r="F13" s="21">
        <f t="shared" si="1"/>
        <v>-0.41564562126605464</v>
      </c>
      <c r="G13" s="21">
        <f t="shared" si="1"/>
        <v>-0.32915784199379361</v>
      </c>
      <c r="H13" s="21">
        <f t="shared" si="1"/>
        <v>-0.22180825805337601</v>
      </c>
      <c r="I13" s="21">
        <f t="shared" si="1"/>
        <v>-7.4947789575501633E-2</v>
      </c>
      <c r="J13" s="21">
        <f t="shared" si="1"/>
        <v>5.2720387787838607E-2</v>
      </c>
      <c r="K13" s="21">
        <f t="shared" si="1"/>
        <v>5.110655257037533E-2</v>
      </c>
      <c r="L13" s="21">
        <f t="shared" si="1"/>
        <v>1.7681233211931029</v>
      </c>
      <c r="M13" s="21">
        <f t="shared" si="1"/>
        <v>2.314437684432948</v>
      </c>
      <c r="N13" s="21">
        <f t="shared" si="1"/>
        <v>2.9232766476950327</v>
      </c>
      <c r="O13" s="21">
        <f t="shared" si="1"/>
        <v>3.3145246756222608</v>
      </c>
      <c r="P13" s="21">
        <f t="shared" si="1"/>
        <v>0.66740013687593569</v>
      </c>
    </row>
    <row r="14" spans="1:22"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t="s">
        <v>3</v>
      </c>
      <c r="P14" s="23" t="s">
        <v>3</v>
      </c>
      <c r="Q14" s="23"/>
      <c r="R14" s="23"/>
      <c r="S14" s="23"/>
      <c r="T14" s="23"/>
    </row>
    <row r="16" spans="1:22" s="17" customFormat="1">
      <c r="A16" s="25" t="s">
        <v>53</v>
      </c>
      <c r="B16" s="26">
        <v>159.90299999999999</v>
      </c>
      <c r="C16" s="26">
        <v>155.04499999999999</v>
      </c>
      <c r="D16" s="26">
        <f>658.946-E16-F16-G16</f>
        <v>179.178</v>
      </c>
      <c r="E16" s="26">
        <v>153.10499999999999</v>
      </c>
      <c r="F16" s="26">
        <v>151.125</v>
      </c>
      <c r="G16" s="26">
        <v>175.53800000000001</v>
      </c>
      <c r="H16" s="26">
        <f>1048.259-I16-J16-K16</f>
        <v>234.58600000000007</v>
      </c>
      <c r="I16" s="26">
        <v>245.45400000000001</v>
      </c>
      <c r="J16" s="26">
        <v>284.404</v>
      </c>
      <c r="K16" s="26">
        <v>283.815</v>
      </c>
      <c r="L16" s="26">
        <f>1205.021-M16-N16-O16</f>
        <v>325.91399999999993</v>
      </c>
      <c r="M16" s="26">
        <v>276.81200000000001</v>
      </c>
      <c r="N16" s="26">
        <v>291.95600000000002</v>
      </c>
      <c r="O16" s="26">
        <v>310.339</v>
      </c>
      <c r="P16" s="26">
        <f>95.806-Q16-R16-S16</f>
        <v>57.103999999999999</v>
      </c>
      <c r="Q16" s="26">
        <v>22.202000000000002</v>
      </c>
      <c r="R16" s="26">
        <v>12.3</v>
      </c>
      <c r="S16" s="26">
        <v>4.2</v>
      </c>
      <c r="T16" s="26">
        <v>2.8</v>
      </c>
      <c r="U16" s="14"/>
      <c r="V16" s="14"/>
    </row>
    <row r="17" spans="1:25" s="21" customFormat="1">
      <c r="A17" s="21" t="s">
        <v>54</v>
      </c>
      <c r="B17" s="21">
        <f t="shared" ref="B17:C17" si="2">+B16/B12</f>
        <v>0.48345578231292513</v>
      </c>
      <c r="C17" s="21">
        <f t="shared" si="2"/>
        <v>0.50935127481545484</v>
      </c>
      <c r="D17" s="21">
        <f t="shared" ref="D17:E17" si="3">+D16/D12</f>
        <v>0.53009674269992024</v>
      </c>
      <c r="E17" s="21">
        <f t="shared" si="3"/>
        <v>0.53349106405516622</v>
      </c>
      <c r="F17" s="21">
        <f t="shared" ref="F17:G17" si="4">+F16/F12</f>
        <v>0.53835165539794383</v>
      </c>
      <c r="G17" s="21">
        <f t="shared" si="4"/>
        <v>0.55088719142873288</v>
      </c>
      <c r="H17" s="21">
        <f t="shared" ref="H17:I17" si="5">+H16/H12</f>
        <v>0.56579645548126956</v>
      </c>
      <c r="I17" s="21">
        <f t="shared" si="5"/>
        <v>0.58330739049945701</v>
      </c>
      <c r="J17" s="21">
        <f t="shared" ref="J17:K17" si="6">+J16/J12</f>
        <v>0.59202731114302964</v>
      </c>
      <c r="K17" s="21">
        <f t="shared" si="6"/>
        <v>0.597512810688135</v>
      </c>
      <c r="L17" s="21">
        <f t="shared" ref="L17:T17" si="7">+L16/L12</f>
        <v>0.61171307966192989</v>
      </c>
      <c r="M17" s="21">
        <f t="shared" si="7"/>
        <v>0.60852513794543739</v>
      </c>
      <c r="N17" s="21">
        <f t="shared" si="7"/>
        <v>0.63978857498487951</v>
      </c>
      <c r="O17" s="21">
        <f t="shared" si="7"/>
        <v>0.68674416185917653</v>
      </c>
      <c r="P17" s="21">
        <f t="shared" si="7"/>
        <v>0.29668576891304244</v>
      </c>
      <c r="Q17" s="21">
        <f t="shared" si="7"/>
        <v>0.16176909905643194</v>
      </c>
      <c r="R17" s="21">
        <f t="shared" si="7"/>
        <v>0.1057482332307375</v>
      </c>
      <c r="S17" s="21">
        <f t="shared" si="7"/>
        <v>4.0099676338326701E-2</v>
      </c>
      <c r="T17" s="21">
        <f t="shared" si="7"/>
        <v>2.4256495109717315E-2</v>
      </c>
      <c r="X17" s="17"/>
      <c r="Y17" s="17"/>
    </row>
    <row r="18" spans="1:25" s="24" customFormat="1"/>
    <row r="19" spans="1:25"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row>
    <row r="20" spans="1:25"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row>
    <row r="21" spans="1:25"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row>
    <row r="22" spans="1:25" s="17" customFormat="1">
      <c r="A22" s="17" t="s">
        <v>58</v>
      </c>
      <c r="B22" s="27">
        <f t="shared" ref="B22:C22" si="8">SUM(B16,B19:B21)</f>
        <v>159.90299999999999</v>
      </c>
      <c r="C22" s="27">
        <f t="shared" si="8"/>
        <v>155.04499999999999</v>
      </c>
      <c r="D22" s="27">
        <f t="shared" ref="D22:E22" si="9">SUM(D16,D19:D21)</f>
        <v>179.178</v>
      </c>
      <c r="E22" s="27">
        <f t="shared" si="9"/>
        <v>153.10499999999999</v>
      </c>
      <c r="F22" s="27">
        <f t="shared" ref="F22:G22" si="10">SUM(F16,F19:F21)</f>
        <v>151.125</v>
      </c>
      <c r="G22" s="27">
        <f t="shared" si="10"/>
        <v>175.53800000000001</v>
      </c>
      <c r="H22" s="27">
        <f t="shared" ref="H22:I22" si="11">SUM(H16,H19:H21)</f>
        <v>234.58600000000007</v>
      </c>
      <c r="I22" s="27">
        <f t="shared" si="11"/>
        <v>245.45400000000001</v>
      </c>
      <c r="J22" s="27">
        <f t="shared" ref="J22:K22" si="12">SUM(J16,J19:J21)</f>
        <v>284.404</v>
      </c>
      <c r="K22" s="27">
        <f t="shared" si="12"/>
        <v>283.815</v>
      </c>
      <c r="L22" s="27">
        <f t="shared" ref="L22:T22" si="13">SUM(L16,L19:L21)</f>
        <v>325.91399999999993</v>
      </c>
      <c r="M22" s="27">
        <f t="shared" si="13"/>
        <v>276.81200000000001</v>
      </c>
      <c r="N22" s="27">
        <f t="shared" si="13"/>
        <v>291.95600000000002</v>
      </c>
      <c r="O22" s="27">
        <f t="shared" si="13"/>
        <v>310.339</v>
      </c>
      <c r="P22" s="27">
        <f t="shared" si="13"/>
        <v>57.103999999999999</v>
      </c>
      <c r="Q22" s="27">
        <f t="shared" si="13"/>
        <v>22.202000000000002</v>
      </c>
      <c r="R22" s="27">
        <f t="shared" si="13"/>
        <v>12.3</v>
      </c>
      <c r="S22" s="27">
        <f t="shared" si="13"/>
        <v>4.2</v>
      </c>
      <c r="T22" s="27">
        <f t="shared" si="13"/>
        <v>2.8</v>
      </c>
    </row>
    <row r="23" spans="1:25" s="17" customFormat="1">
      <c r="B23" s="21"/>
      <c r="C23" s="21"/>
      <c r="D23" s="21"/>
      <c r="E23" s="21"/>
      <c r="F23" s="21"/>
      <c r="G23" s="21"/>
      <c r="H23" s="21"/>
      <c r="I23" s="21"/>
      <c r="J23" s="21"/>
      <c r="K23" s="21"/>
      <c r="L23" s="21"/>
      <c r="M23" s="21"/>
      <c r="N23" s="27"/>
      <c r="O23" s="27"/>
      <c r="P23" s="27"/>
      <c r="Q23" s="27"/>
      <c r="R23" s="27"/>
      <c r="S23" s="27"/>
      <c r="T23" s="27"/>
    </row>
    <row r="24" spans="1:25" s="17" customFormat="1">
      <c r="A24" s="17" t="s">
        <v>59</v>
      </c>
      <c r="B24" s="27">
        <f t="shared" ref="B24:Q24" si="14">SUM(B22:E22)</f>
        <v>647.23099999999999</v>
      </c>
      <c r="C24" s="27">
        <f t="shared" si="14"/>
        <v>638.45299999999997</v>
      </c>
      <c r="D24" s="27">
        <f t="shared" si="14"/>
        <v>658.94600000000003</v>
      </c>
      <c r="E24" s="27">
        <f t="shared" si="14"/>
        <v>714.35400000000004</v>
      </c>
      <c r="F24" s="27">
        <f t="shared" si="14"/>
        <v>806.70299999999997</v>
      </c>
      <c r="G24" s="27">
        <f t="shared" si="14"/>
        <v>939.98200000000008</v>
      </c>
      <c r="H24" s="27">
        <f t="shared" si="14"/>
        <v>1048.259</v>
      </c>
      <c r="I24" s="27">
        <f t="shared" si="14"/>
        <v>1139.587</v>
      </c>
      <c r="J24" s="27">
        <f t="shared" si="14"/>
        <v>1170.9450000000002</v>
      </c>
      <c r="K24" s="27">
        <f t="shared" si="14"/>
        <v>1178.4969999999998</v>
      </c>
      <c r="L24" s="27">
        <f t="shared" si="14"/>
        <v>1205.021</v>
      </c>
      <c r="M24" s="27">
        <f t="shared" si="14"/>
        <v>936.21100000000001</v>
      </c>
      <c r="N24" s="27">
        <f t="shared" si="14"/>
        <v>681.60100000000011</v>
      </c>
      <c r="O24" s="27">
        <f t="shared" si="14"/>
        <v>401.94499999999999</v>
      </c>
      <c r="P24" s="27">
        <f t="shared" si="14"/>
        <v>95.805999999999997</v>
      </c>
      <c r="Q24" s="27">
        <f t="shared" si="14"/>
        <v>41.502000000000002</v>
      </c>
      <c r="R24" s="27"/>
      <c r="S24" s="27"/>
      <c r="T24" s="27"/>
    </row>
    <row r="25" spans="1:25" s="24" customFormat="1">
      <c r="A25" s="19" t="s">
        <v>60</v>
      </c>
      <c r="B25" s="28">
        <v>0</v>
      </c>
      <c r="C25" s="28">
        <v>0</v>
      </c>
      <c r="D25" s="28">
        <v>0</v>
      </c>
      <c r="E25" s="28">
        <v>0</v>
      </c>
      <c r="F25" s="28">
        <v>0</v>
      </c>
      <c r="G25" s="28">
        <v>0</v>
      </c>
      <c r="H25" s="28">
        <v>0</v>
      </c>
      <c r="I25" s="28">
        <v>0</v>
      </c>
      <c r="J25" s="28">
        <v>0</v>
      </c>
      <c r="K25" s="28">
        <v>0</v>
      </c>
      <c r="L25" s="28">
        <v>0</v>
      </c>
      <c r="M25" s="28">
        <v>0</v>
      </c>
      <c r="N25" s="28">
        <v>0</v>
      </c>
      <c r="O25" s="28">
        <v>0</v>
      </c>
      <c r="P25" s="28">
        <v>0</v>
      </c>
      <c r="Q25" s="28">
        <v>0</v>
      </c>
      <c r="R25" s="28"/>
      <c r="S25" s="28"/>
      <c r="T25" s="28"/>
    </row>
    <row r="26" spans="1:25" s="24" customFormat="1">
      <c r="A26" s="19" t="s">
        <v>61</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c r="S26" s="29"/>
      <c r="T26" s="29"/>
    </row>
    <row r="27" spans="1:25" s="32" customFormat="1">
      <c r="A27" s="17" t="s">
        <v>62</v>
      </c>
      <c r="B27" s="27">
        <f t="shared" ref="B27:C27" si="15">SUM(B24:B26)</f>
        <v>647.23099999999999</v>
      </c>
      <c r="C27" s="27">
        <f t="shared" si="15"/>
        <v>638.45299999999997</v>
      </c>
      <c r="D27" s="27">
        <f t="shared" ref="D27:E27" si="16">SUM(D24:D26)</f>
        <v>658.94600000000003</v>
      </c>
      <c r="E27" s="27">
        <f t="shared" si="16"/>
        <v>714.35400000000004</v>
      </c>
      <c r="F27" s="27">
        <f t="shared" ref="F27:G27" si="17">SUM(F24:F26)</f>
        <v>806.70299999999997</v>
      </c>
      <c r="G27" s="27">
        <f t="shared" si="17"/>
        <v>939.98200000000008</v>
      </c>
      <c r="H27" s="27">
        <f t="shared" ref="H27:I27" si="18">SUM(H24:H26)</f>
        <v>1048.259</v>
      </c>
      <c r="I27" s="27">
        <f t="shared" si="18"/>
        <v>1139.587</v>
      </c>
      <c r="J27" s="27">
        <f t="shared" ref="J27:K27" si="19">SUM(J24:J26)</f>
        <v>1170.9450000000002</v>
      </c>
      <c r="K27" s="27">
        <f t="shared" si="19"/>
        <v>1178.4969999999998</v>
      </c>
      <c r="L27" s="27">
        <f t="shared" ref="L27:Q27" si="20">SUM(L24:L26)</f>
        <v>1205.021</v>
      </c>
      <c r="M27" s="27">
        <f t="shared" si="20"/>
        <v>936.21100000000001</v>
      </c>
      <c r="N27" s="27">
        <f t="shared" si="20"/>
        <v>681.60100000000011</v>
      </c>
      <c r="O27" s="27">
        <f t="shared" si="20"/>
        <v>401.94499999999999</v>
      </c>
      <c r="P27" s="27">
        <f t="shared" si="20"/>
        <v>95.805999999999997</v>
      </c>
      <c r="Q27" s="27">
        <f t="shared" si="20"/>
        <v>41.502000000000002</v>
      </c>
      <c r="R27" s="27"/>
      <c r="S27" s="27"/>
      <c r="T27" s="27"/>
    </row>
    <row r="28" spans="1:25" s="24" customFormat="1">
      <c r="W28" s="88"/>
    </row>
    <row r="29" spans="1:25" s="17" customFormat="1">
      <c r="A29" s="17" t="s">
        <v>58</v>
      </c>
      <c r="B29" s="27">
        <f t="shared" ref="B29:C29" si="21">B22</f>
        <v>159.90299999999999</v>
      </c>
      <c r="C29" s="27">
        <f t="shared" si="21"/>
        <v>155.04499999999999</v>
      </c>
      <c r="D29" s="27">
        <f t="shared" ref="D29:F29" si="22">D22</f>
        <v>179.178</v>
      </c>
      <c r="E29" s="27">
        <f t="shared" si="22"/>
        <v>153.10499999999999</v>
      </c>
      <c r="F29" s="27">
        <f t="shared" si="22"/>
        <v>151.125</v>
      </c>
      <c r="G29" s="27">
        <f t="shared" ref="G29:H29" si="23">G22</f>
        <v>175.53800000000001</v>
      </c>
      <c r="H29" s="27">
        <f t="shared" si="23"/>
        <v>234.58600000000007</v>
      </c>
      <c r="I29" s="27">
        <f t="shared" ref="I29:J29" si="24">I22</f>
        <v>245.45400000000001</v>
      </c>
      <c r="J29" s="27">
        <f t="shared" si="24"/>
        <v>284.404</v>
      </c>
      <c r="K29" s="27">
        <f t="shared" ref="K29:L29" si="25">K22</f>
        <v>283.815</v>
      </c>
      <c r="L29" s="27">
        <f t="shared" si="25"/>
        <v>325.91399999999993</v>
      </c>
      <c r="M29" s="27">
        <f t="shared" ref="M29:T29" si="26">M22</f>
        <v>276.81200000000001</v>
      </c>
      <c r="N29" s="27">
        <f t="shared" si="26"/>
        <v>291.95600000000002</v>
      </c>
      <c r="O29" s="27">
        <f t="shared" si="26"/>
        <v>310.339</v>
      </c>
      <c r="P29" s="27">
        <f t="shared" si="26"/>
        <v>57.103999999999999</v>
      </c>
      <c r="Q29" s="27">
        <f t="shared" si="26"/>
        <v>22.202000000000002</v>
      </c>
      <c r="R29" s="27">
        <f t="shared" si="26"/>
        <v>12.3</v>
      </c>
      <c r="S29" s="27">
        <f t="shared" si="26"/>
        <v>4.2</v>
      </c>
      <c r="T29" s="27">
        <f t="shared" si="26"/>
        <v>2.8</v>
      </c>
    </row>
    <row r="30" spans="1:25" s="33" customFormat="1">
      <c r="A30" s="20" t="s">
        <v>63</v>
      </c>
      <c r="B30" s="20">
        <f>-30.95-C30</f>
        <v>-14.085000000000001</v>
      </c>
      <c r="C30" s="20">
        <v>-16.864999999999998</v>
      </c>
      <c r="D30" s="20">
        <f>-86.962-E30-F30-G30</f>
        <v>-18.962000000000003</v>
      </c>
      <c r="E30" s="20">
        <f>-68-F30-G30</f>
        <v>-24.607999999999997</v>
      </c>
      <c r="F30" s="20">
        <f>-43.392-G30</f>
        <v>-19.300000000000004</v>
      </c>
      <c r="G30" s="20">
        <v>-24.091999999999999</v>
      </c>
      <c r="H30" s="20">
        <f>-121.075-I30-J30-K30</f>
        <v>-27.475000000000009</v>
      </c>
      <c r="I30" s="20">
        <f>-93.6-J30-K30</f>
        <v>-30.799999999999997</v>
      </c>
      <c r="J30" s="20">
        <f>-62.8-K30</f>
        <v>-31.4</v>
      </c>
      <c r="K30" s="20">
        <v>-31.4</v>
      </c>
      <c r="L30" s="20">
        <f>-108.006-M30-N30-O30</f>
        <v>-33.506</v>
      </c>
      <c r="M30" s="20">
        <f>-74.5-N30-O30</f>
        <v>-39.299999999999997</v>
      </c>
      <c r="N30" s="20">
        <f>-35.2-O30</f>
        <v>-24.200000000000003</v>
      </c>
      <c r="O30" s="20">
        <v>-11</v>
      </c>
      <c r="P30" s="20">
        <f>-25.277-Q30-R30-S30</f>
        <v>-10.677000000000001</v>
      </c>
      <c r="Q30" s="20">
        <f>-14.6-R30-S30</f>
        <v>-6.6980000000000004</v>
      </c>
      <c r="R30" s="20">
        <f>-7.902-S30</f>
        <v>-6.3019999999999996</v>
      </c>
      <c r="S30" s="20">
        <v>-1.6</v>
      </c>
      <c r="T30" s="20">
        <v>0</v>
      </c>
    </row>
    <row r="31" spans="1:25" s="33" customFormat="1">
      <c r="A31" s="20" t="s">
        <v>64</v>
      </c>
      <c r="B31" s="20">
        <f>-44.6-C31</f>
        <v>-41.722999999999999</v>
      </c>
      <c r="C31" s="20">
        <f>-0.037-2.84</f>
        <v>-2.8769999999999998</v>
      </c>
      <c r="D31" s="20">
        <f>-73.971-E31-F31-G31</f>
        <v>-42.071000000000005</v>
      </c>
      <c r="E31" s="20">
        <f>-31.9-F31-G31</f>
        <v>-26.999999999999996</v>
      </c>
      <c r="F31" s="20">
        <f>-4.9-G31</f>
        <v>-2.6000000000000005</v>
      </c>
      <c r="G31" s="20">
        <v>-2.2999999999999998</v>
      </c>
      <c r="H31" s="20">
        <f>-99.278-I31-J31-K31</f>
        <v>-12.278000000000013</v>
      </c>
      <c r="I31" s="20">
        <f>-87-J31-K31</f>
        <v>-12.20000000000001</v>
      </c>
      <c r="J31" s="20">
        <f>-74.8-K31</f>
        <v>-13.699999999999996</v>
      </c>
      <c r="K31" s="20">
        <v>-61.1</v>
      </c>
      <c r="L31" s="20">
        <f>-21.444-M31-N31-O31</f>
        <v>-2.0440000000000014</v>
      </c>
      <c r="M31" s="20">
        <f>-19.4-N31-O31</f>
        <v>-7.7</v>
      </c>
      <c r="N31" s="20">
        <f>-11.7-O31</f>
        <v>-9.8999999999999986</v>
      </c>
      <c r="O31" s="20">
        <v>-1.8</v>
      </c>
      <c r="P31" s="20">
        <f>-3.467-Q31-R31-S31</f>
        <v>-0.56700000000000017</v>
      </c>
      <c r="Q31" s="20">
        <f>-2.9-R31-S31</f>
        <v>-1.9749999999999999</v>
      </c>
      <c r="R31" s="20">
        <f>-0.925-S31</f>
        <v>-0.125</v>
      </c>
      <c r="S31" s="20">
        <v>-0.8</v>
      </c>
      <c r="T31" s="20">
        <v>0</v>
      </c>
    </row>
    <row r="32" spans="1:25" s="33" customFormat="1">
      <c r="A32" s="20" t="s">
        <v>65</v>
      </c>
      <c r="B32" s="20">
        <f>50.434-21.799-C32</f>
        <v>25.246999999999996</v>
      </c>
      <c r="C32" s="20">
        <f>25.187-21.799</f>
        <v>3.3880000000000017</v>
      </c>
      <c r="D32" s="20">
        <f>86.438-E32-F32-G32</f>
        <v>1.340000000000007</v>
      </c>
      <c r="E32" s="20">
        <f>85.098-F32-G32</f>
        <v>51.012</v>
      </c>
      <c r="F32" s="20">
        <f>34.086-G32</f>
        <v>34.215999999999994</v>
      </c>
      <c r="G32" s="20">
        <f>27.727-27.857</f>
        <v>-0.12999999999999901</v>
      </c>
      <c r="H32" s="20">
        <f>-47.687-I32-J32-K32</f>
        <v>32.624000000000009</v>
      </c>
      <c r="I32" s="20">
        <f>-80.311-J32-K32</f>
        <v>22.238</v>
      </c>
      <c r="J32" s="20">
        <f>-102.549-K32</f>
        <v>-31.106000000000009</v>
      </c>
      <c r="K32" s="20">
        <v>-71.442999999999998</v>
      </c>
      <c r="L32" s="20">
        <f>-177.754-M32-N32-O32</f>
        <v>-34.058999999999997</v>
      </c>
      <c r="M32" s="20">
        <f>-143.695-N32-O32</f>
        <v>14.893000000000001</v>
      </c>
      <c r="N32" s="20">
        <f>-158.588-O32</f>
        <v>-8.061000000000007</v>
      </c>
      <c r="O32" s="20">
        <v>-150.52699999999999</v>
      </c>
      <c r="P32" s="20">
        <f>-20.004-S32-R32-Q32</f>
        <v>-42.201000000000001</v>
      </c>
      <c r="Q32" s="20">
        <f>22.197-R32-S32</f>
        <v>22.04</v>
      </c>
      <c r="R32" s="20">
        <v>-8.4890000000000008</v>
      </c>
      <c r="S32" s="20">
        <v>8.6460000000000008</v>
      </c>
      <c r="T32" s="20">
        <v>14.624999999999993</v>
      </c>
    </row>
    <row r="33" spans="1:22"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row>
    <row r="34" spans="1:22"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row>
    <row r="35" spans="1:22" s="27" customFormat="1">
      <c r="A35" s="27" t="s">
        <v>67</v>
      </c>
      <c r="B35" s="27">
        <f>208.755-C35</f>
        <v>86.33</v>
      </c>
      <c r="C35" s="27">
        <v>122.425</v>
      </c>
      <c r="D35" s="27">
        <f>563.646-E35-F35-G35</f>
        <v>146.98099999999991</v>
      </c>
      <c r="E35" s="27">
        <f>416.665-F35-G35</f>
        <v>129.00900000000004</v>
      </c>
      <c r="F35" s="27">
        <f>287.656-G35</f>
        <v>148.37300000000002</v>
      </c>
      <c r="G35" s="27">
        <v>139.28299999999999</v>
      </c>
      <c r="H35" s="27">
        <f>805.316-I35-J35-K35</f>
        <v>220.54399999999998</v>
      </c>
      <c r="I35" s="27">
        <f>584.772-J35-K35</f>
        <v>225.74900000000002</v>
      </c>
      <c r="J35" s="27">
        <f>359.023-K35</f>
        <v>202.20600000000002</v>
      </c>
      <c r="K35" s="27">
        <v>156.81700000000001</v>
      </c>
      <c r="L35" s="27">
        <f>836.603-M35-N35-O35</f>
        <v>224.35899999999987</v>
      </c>
      <c r="M35" s="27">
        <f>612.244-N35-O35</f>
        <v>234.56900000000002</v>
      </c>
      <c r="N35" s="27">
        <f>377.675-O35</f>
        <v>237.12200000000001</v>
      </c>
      <c r="O35" s="27">
        <v>140.553</v>
      </c>
      <c r="P35" s="27">
        <f>36.573-S35-R35-Q35</f>
        <v>2.9919999999999973</v>
      </c>
      <c r="Q35" s="27">
        <f>33.581-R35-S35</f>
        <v>30.108000000000004</v>
      </c>
      <c r="R35" s="27">
        <v>1.6729999999999998</v>
      </c>
      <c r="S35" s="27">
        <v>1.8</v>
      </c>
      <c r="T35" s="27">
        <v>-5.9160000000000004</v>
      </c>
    </row>
    <row r="36" spans="1:22" s="33" customFormat="1">
      <c r="A36" s="20" t="s">
        <v>68</v>
      </c>
      <c r="B36" s="29">
        <f>-26.052-C36</f>
        <v>-11.878</v>
      </c>
      <c r="C36" s="29">
        <v>-14.173999999999999</v>
      </c>
      <c r="D36" s="29">
        <f>-36.075-E36-F36-G36</f>
        <v>-5.387000000000004</v>
      </c>
      <c r="E36" s="29">
        <f>-30.688-F36-G36</f>
        <v>-6.3329999999999984</v>
      </c>
      <c r="F36" s="29">
        <f>-24.355-G36</f>
        <v>-10.454000000000001</v>
      </c>
      <c r="G36" s="29">
        <v>-13.901</v>
      </c>
      <c r="H36" s="29">
        <f>-64.103-I36-J36-K36</f>
        <v>-20.049999999999997</v>
      </c>
      <c r="I36" s="29">
        <f>-44.053-J36-K36</f>
        <v>-14.853999999999994</v>
      </c>
      <c r="J36" s="29">
        <f>-29.199-K36</f>
        <v>-14.63</v>
      </c>
      <c r="K36" s="29">
        <v>-14.569000000000001</v>
      </c>
      <c r="L36" s="29">
        <f>-68.221-M36-N36-O36</f>
        <v>-20.589000000000006</v>
      </c>
      <c r="M36" s="29">
        <f>-47.632-N36-O36</f>
        <v>-18.896999999999998</v>
      </c>
      <c r="N36" s="29">
        <f>-28.735-O36</f>
        <v>-14.709999999999999</v>
      </c>
      <c r="O36" s="29">
        <v>-14.025</v>
      </c>
      <c r="P36" s="29">
        <f>-34.664-S36-R36-Q36</f>
        <v>-11.636000000000001</v>
      </c>
      <c r="Q36" s="29">
        <f>-23.028-R36-S36</f>
        <v>-9.5830000000000002</v>
      </c>
      <c r="R36" s="29">
        <v>-5.4489999999999998</v>
      </c>
      <c r="S36" s="29">
        <v>-7.9960000000000004</v>
      </c>
      <c r="T36" s="29">
        <v>-5.6009999999999991</v>
      </c>
    </row>
    <row r="37" spans="1:22" s="27" customFormat="1">
      <c r="A37" s="27" t="s">
        <v>69</v>
      </c>
      <c r="B37" s="27">
        <f t="shared" ref="B37:T37" si="27">+B35+B36</f>
        <v>74.451999999999998</v>
      </c>
      <c r="C37" s="27">
        <f t="shared" si="27"/>
        <v>108.251</v>
      </c>
      <c r="D37" s="27">
        <f t="shared" si="27"/>
        <v>141.59399999999991</v>
      </c>
      <c r="E37" s="27">
        <f t="shared" si="27"/>
        <v>122.67600000000004</v>
      </c>
      <c r="F37" s="27">
        <f t="shared" si="27"/>
        <v>137.91900000000001</v>
      </c>
      <c r="G37" s="27">
        <f t="shared" si="27"/>
        <v>125.38199999999999</v>
      </c>
      <c r="H37" s="27">
        <f t="shared" si="27"/>
        <v>200.49399999999997</v>
      </c>
      <c r="I37" s="27">
        <f t="shared" si="27"/>
        <v>210.89500000000004</v>
      </c>
      <c r="J37" s="27">
        <f t="shared" si="27"/>
        <v>187.57600000000002</v>
      </c>
      <c r="K37" s="27">
        <f t="shared" si="27"/>
        <v>142.24800000000002</v>
      </c>
      <c r="L37" s="27">
        <f t="shared" si="27"/>
        <v>203.76999999999987</v>
      </c>
      <c r="M37" s="27">
        <f t="shared" si="27"/>
        <v>215.67200000000003</v>
      </c>
      <c r="N37" s="27">
        <f t="shared" si="27"/>
        <v>222.41200000000001</v>
      </c>
      <c r="O37" s="27">
        <f t="shared" si="27"/>
        <v>126.52799999999999</v>
      </c>
      <c r="P37" s="27">
        <f t="shared" si="27"/>
        <v>-8.6440000000000037</v>
      </c>
      <c r="Q37" s="27">
        <f t="shared" si="27"/>
        <v>20.525000000000006</v>
      </c>
      <c r="R37" s="27">
        <f t="shared" si="27"/>
        <v>-3.7759999999999998</v>
      </c>
      <c r="S37" s="27">
        <f t="shared" si="27"/>
        <v>-6.1960000000000006</v>
      </c>
      <c r="T37" s="27">
        <f t="shared" si="27"/>
        <v>-11.516999999999999</v>
      </c>
    </row>
    <row r="39" spans="1:22" s="35" customFormat="1">
      <c r="A39" s="34" t="s">
        <v>70</v>
      </c>
      <c r="B39" s="20">
        <v>0</v>
      </c>
      <c r="C39" s="20">
        <v>0</v>
      </c>
      <c r="D39" s="20">
        <v>0</v>
      </c>
      <c r="E39" s="20">
        <v>0</v>
      </c>
      <c r="F39" s="20">
        <v>0</v>
      </c>
      <c r="G39" s="20">
        <v>0</v>
      </c>
      <c r="H39" s="20">
        <v>0</v>
      </c>
      <c r="I39" s="20">
        <v>0</v>
      </c>
      <c r="J39" s="20">
        <v>0</v>
      </c>
      <c r="K39" s="20">
        <v>0</v>
      </c>
      <c r="L39" s="20">
        <v>0</v>
      </c>
      <c r="M39" s="20">
        <v>0</v>
      </c>
      <c r="N39" s="20">
        <v>0</v>
      </c>
      <c r="O39" s="20">
        <v>0</v>
      </c>
      <c r="P39" s="20">
        <f>Q39</f>
        <v>0</v>
      </c>
      <c r="Q39" s="20">
        <v>0</v>
      </c>
      <c r="R39" s="20"/>
      <c r="S39" s="20"/>
      <c r="T39" s="20"/>
      <c r="U39" s="33"/>
      <c r="V39" s="33"/>
    </row>
    <row r="40" spans="1:22" s="35" customFormat="1">
      <c r="A40" s="34" t="s">
        <v>71</v>
      </c>
      <c r="B40" s="20">
        <f>743.708+500</f>
        <v>1243.7080000000001</v>
      </c>
      <c r="C40" s="20">
        <f>793.708+500</f>
        <v>1293.7080000000001</v>
      </c>
      <c r="D40" s="20">
        <f>943.708+500-150</f>
        <v>1293.7080000000001</v>
      </c>
      <c r="E40" s="20">
        <f>1563.903-60</f>
        <v>1503.903</v>
      </c>
      <c r="F40" s="20">
        <f>1712.022</f>
        <v>1712.0219999999999</v>
      </c>
      <c r="G40" s="20">
        <f>1813.785</f>
        <v>1813.7850000000001</v>
      </c>
      <c r="H40" s="20">
        <f>1812.204</f>
        <v>1812.204</v>
      </c>
      <c r="I40" s="20">
        <f>2035.624</f>
        <v>2035.624</v>
      </c>
      <c r="J40" s="20">
        <v>2034.0440000000001</v>
      </c>
      <c r="K40" s="20">
        <v>2032.463</v>
      </c>
      <c r="L40" s="20">
        <v>2155.8829999999998</v>
      </c>
      <c r="M40" s="20">
        <f>2182.429</f>
        <v>2182.4290000000001</v>
      </c>
      <c r="N40" s="20">
        <f>2209.075</f>
        <v>2209.0749999999998</v>
      </c>
      <c r="O40" s="20">
        <v>1472.653</v>
      </c>
      <c r="P40" s="20">
        <f>Q40</f>
        <v>1501</v>
      </c>
      <c r="Q40" s="20">
        <v>1501</v>
      </c>
      <c r="R40" s="20"/>
      <c r="S40" s="20"/>
      <c r="T40" s="20"/>
      <c r="U40" s="33"/>
      <c r="V40" s="33"/>
    </row>
    <row r="41" spans="1:22" s="35" customFormat="1">
      <c r="A41" s="34" t="s">
        <v>72</v>
      </c>
      <c r="B41" s="20">
        <f>B39+B40+0.596</f>
        <v>1244.3040000000001</v>
      </c>
      <c r="C41" s="20">
        <f>C39+C40+0.591</f>
        <v>1294.299</v>
      </c>
      <c r="D41" s="20">
        <f>D39+D40+0.615</f>
        <v>1294.3230000000001</v>
      </c>
      <c r="E41" s="20">
        <f>E39+E40+0.675</f>
        <v>1504.578</v>
      </c>
      <c r="F41" s="20">
        <f>F39+F40+0.64</f>
        <v>1712.662</v>
      </c>
      <c r="G41" s="20">
        <f>G39+G40+0.619</f>
        <v>1814.404</v>
      </c>
      <c r="H41" s="20">
        <f>H39+H40+0.619</f>
        <v>1812.8229999999999</v>
      </c>
      <c r="I41" s="20">
        <f>I39+I40+0.738</f>
        <v>2036.3620000000001</v>
      </c>
      <c r="J41" s="20">
        <f>J39+J40+0.763</f>
        <v>2034.807</v>
      </c>
      <c r="K41" s="20">
        <f>K39+K40+0.745</f>
        <v>2033.2079999999999</v>
      </c>
      <c r="L41" s="20">
        <f>L39+L40+0.751</f>
        <v>2156.634</v>
      </c>
      <c r="M41" s="20">
        <f>M39+M40+0.899</f>
        <v>2183.328</v>
      </c>
      <c r="N41" s="20">
        <f>N39+N40+0.931</f>
        <v>2210.0059999999999</v>
      </c>
      <c r="O41" s="20">
        <f>O39+O40+1.006</f>
        <v>1473.6590000000001</v>
      </c>
      <c r="P41" s="20">
        <f>Q41</f>
        <v>1501</v>
      </c>
      <c r="Q41" s="20">
        <f>Q39+Q40</f>
        <v>1501</v>
      </c>
      <c r="R41" s="20"/>
      <c r="S41" s="20"/>
      <c r="T41" s="20"/>
      <c r="U41" s="33"/>
      <c r="V41" s="33"/>
    </row>
    <row r="42" spans="1:22" s="35" customFormat="1">
      <c r="A42" s="34" t="s">
        <v>73</v>
      </c>
      <c r="B42" s="36">
        <f>267880752/1000000*11.37</f>
        <v>3045.8041502399997</v>
      </c>
      <c r="C42" s="36">
        <f>267258940/1000000*13.29</f>
        <v>3551.8713125999998</v>
      </c>
      <c r="D42" s="36">
        <f>267191799/1000000*12.67</f>
        <v>3385.32009333</v>
      </c>
      <c r="E42" s="36">
        <f>267188547/1000000*6.75</f>
        <v>1803.5226922500001</v>
      </c>
      <c r="F42" s="36">
        <f>267188547/1000000*7.08</f>
        <v>1891.6949127600003</v>
      </c>
      <c r="G42" s="36">
        <f>267178663/1000000*6.96</f>
        <v>1859.5634944799997</v>
      </c>
      <c r="H42" s="36">
        <f>268930987/1000000*9.93</f>
        <v>2670.4847009099999</v>
      </c>
      <c r="I42" s="36">
        <f>289532927/1000000*11.74</f>
        <v>3399.1165629799998</v>
      </c>
      <c r="J42" s="36">
        <f>290537612/1000000*11.36</f>
        <v>3300.5072723200001</v>
      </c>
      <c r="K42" s="36">
        <f>290537612/1000000*11.14</f>
        <v>3236.5889976800004</v>
      </c>
      <c r="L42" s="36">
        <f>290537612/1000000*14.9</f>
        <v>4329.0104188000005</v>
      </c>
      <c r="M42" s="36">
        <f>(290537612/1000000)*16.88</f>
        <v>4904.2748905600001</v>
      </c>
      <c r="N42" s="36">
        <v>0</v>
      </c>
      <c r="O42" s="36">
        <v>0</v>
      </c>
      <c r="P42" s="36">
        <f>Q42</f>
        <v>0</v>
      </c>
      <c r="Q42" s="36">
        <v>0</v>
      </c>
      <c r="R42" s="36"/>
      <c r="S42" s="36"/>
      <c r="T42" s="36"/>
      <c r="V42" s="33"/>
    </row>
    <row r="43" spans="1:22">
      <c r="B43" s="35"/>
      <c r="C43" s="35"/>
      <c r="D43" s="35"/>
      <c r="E43" s="35"/>
      <c r="F43" s="35"/>
      <c r="G43" s="35"/>
      <c r="H43" s="35"/>
      <c r="I43" s="35"/>
      <c r="J43" s="35"/>
      <c r="K43" s="35"/>
      <c r="L43" s="35"/>
      <c r="M43" s="35"/>
      <c r="N43" s="35"/>
      <c r="O43" s="35"/>
      <c r="P43" s="35"/>
      <c r="Q43" s="35"/>
      <c r="R43" s="35"/>
      <c r="S43" s="35"/>
    </row>
    <row r="44" spans="1:22">
      <c r="A44" s="19" t="s">
        <v>74</v>
      </c>
      <c r="B44" s="57">
        <v>114.131</v>
      </c>
      <c r="C44" s="57">
        <v>96.445999999999998</v>
      </c>
      <c r="D44" s="57">
        <f>237-150</f>
        <v>87</v>
      </c>
      <c r="E44" s="57">
        <f>158.841-60</f>
        <v>98.841000000000008</v>
      </c>
      <c r="F44" s="57">
        <v>187.65600000000001</v>
      </c>
      <c r="G44" s="57">
        <v>152.10900000000001</v>
      </c>
      <c r="H44" s="57">
        <v>80.935000000000002</v>
      </c>
      <c r="I44" s="57">
        <v>381.16399999999999</v>
      </c>
      <c r="J44" s="57">
        <v>205.255</v>
      </c>
      <c r="K44" s="57">
        <v>42.289000000000001</v>
      </c>
      <c r="L44" s="57">
        <v>49.88</v>
      </c>
      <c r="M44" s="57">
        <v>102.50700000000001</v>
      </c>
      <c r="N44" s="57">
        <v>166.14</v>
      </c>
      <c r="O44" s="57">
        <v>138.37299999999999</v>
      </c>
      <c r="P44" s="57">
        <f>Q44</f>
        <v>13</v>
      </c>
      <c r="Q44" s="57">
        <v>13</v>
      </c>
      <c r="R44" s="57"/>
      <c r="S44" s="57"/>
      <c r="T44" s="57"/>
    </row>
    <row r="46" spans="1:22">
      <c r="A46" s="14" t="s">
        <v>75</v>
      </c>
      <c r="B46" s="58">
        <f t="shared" ref="B46:L46" si="28">SUM(B12:E12)</f>
        <v>1260.144</v>
      </c>
      <c r="C46" s="58">
        <f t="shared" si="28"/>
        <v>1210.1120000000001</v>
      </c>
      <c r="D46" s="58">
        <f t="shared" si="28"/>
        <v>1224.3609999999999</v>
      </c>
      <c r="E46" s="58">
        <f t="shared" si="28"/>
        <v>1300.963</v>
      </c>
      <c r="F46" s="58">
        <f t="shared" si="28"/>
        <v>1434.7729999999999</v>
      </c>
      <c r="G46" s="58">
        <f t="shared" si="28"/>
        <v>1634.4449999999997</v>
      </c>
      <c r="H46" s="58">
        <f t="shared" si="28"/>
        <v>1790.7930000000001</v>
      </c>
      <c r="I46" s="58">
        <f t="shared" si="28"/>
        <v>1908.97</v>
      </c>
      <c r="J46" s="58">
        <f t="shared" si="28"/>
        <v>1943.0630000000001</v>
      </c>
      <c r="K46" s="58">
        <f t="shared" si="28"/>
        <v>1919.0050000000001</v>
      </c>
      <c r="L46" s="58">
        <f t="shared" si="28"/>
        <v>1895.9099999999999</v>
      </c>
      <c r="M46" s="58">
        <f>(M12+N12+O12)/3*4</f>
        <v>1817.4946666666667</v>
      </c>
      <c r="N46" s="58">
        <f>(N12+O12)*2</f>
        <v>1816.462</v>
      </c>
      <c r="O46" s="58">
        <f>O12*4</f>
        <v>1807.596</v>
      </c>
      <c r="P46" s="51">
        <v>1720</v>
      </c>
      <c r="Q46" s="51">
        <v>1720</v>
      </c>
      <c r="R46" s="33"/>
      <c r="S46" s="33"/>
      <c r="T46" s="33"/>
    </row>
    <row r="47" spans="1:22">
      <c r="A47" s="14" t="s">
        <v>76</v>
      </c>
      <c r="B47" s="58">
        <f t="shared" ref="B47" si="29">B27</f>
        <v>647.23099999999999</v>
      </c>
      <c r="C47" s="58">
        <f t="shared" ref="C47:D47" si="30">C27</f>
        <v>638.45299999999997</v>
      </c>
      <c r="D47" s="58">
        <f t="shared" si="30"/>
        <v>658.94600000000003</v>
      </c>
      <c r="E47" s="58">
        <f t="shared" ref="E47:F47" si="31">E27</f>
        <v>714.35400000000004</v>
      </c>
      <c r="F47" s="58">
        <f t="shared" si="31"/>
        <v>806.70299999999997</v>
      </c>
      <c r="G47" s="58">
        <f t="shared" ref="G47:L47" si="32">G27</f>
        <v>939.98200000000008</v>
      </c>
      <c r="H47" s="58">
        <f t="shared" si="32"/>
        <v>1048.259</v>
      </c>
      <c r="I47" s="58">
        <f t="shared" si="32"/>
        <v>1139.587</v>
      </c>
      <c r="J47" s="58">
        <f t="shared" si="32"/>
        <v>1170.9450000000002</v>
      </c>
      <c r="K47" s="58">
        <f t="shared" si="32"/>
        <v>1178.4969999999998</v>
      </c>
      <c r="L47" s="58">
        <f t="shared" si="32"/>
        <v>1205.021</v>
      </c>
      <c r="M47" s="58">
        <f>SUM(M22:O22)/3*4</f>
        <v>1172.1426666666666</v>
      </c>
      <c r="N47" s="58">
        <f>(N22+O22)*2</f>
        <v>1204.5900000000001</v>
      </c>
      <c r="O47" s="58">
        <f>O22*4</f>
        <v>1241.356</v>
      </c>
      <c r="P47" s="51">
        <v>1100</v>
      </c>
      <c r="Q47" s="51">
        <v>1100</v>
      </c>
      <c r="R47" s="33"/>
      <c r="S47" s="33"/>
      <c r="T47" s="33"/>
    </row>
    <row r="48" spans="1:22">
      <c r="A48" s="14" t="s">
        <v>77</v>
      </c>
      <c r="B48" s="58">
        <f t="shared" ref="B48:L48" si="33">SUM(B37:E37)</f>
        <v>446.97299999999996</v>
      </c>
      <c r="C48" s="58">
        <f t="shared" si="33"/>
        <v>510.43999999999994</v>
      </c>
      <c r="D48" s="58">
        <f t="shared" si="33"/>
        <v>527.57099999999991</v>
      </c>
      <c r="E48" s="58">
        <f t="shared" si="33"/>
        <v>586.471</v>
      </c>
      <c r="F48" s="58">
        <f t="shared" si="33"/>
        <v>674.69</v>
      </c>
      <c r="G48" s="58">
        <f t="shared" si="33"/>
        <v>724.34699999999998</v>
      </c>
      <c r="H48" s="58">
        <f t="shared" si="33"/>
        <v>741.21300000000008</v>
      </c>
      <c r="I48" s="58">
        <f t="shared" si="33"/>
        <v>744.48899999999992</v>
      </c>
      <c r="J48" s="58">
        <f t="shared" si="33"/>
        <v>749.26599999999996</v>
      </c>
      <c r="K48" s="58">
        <f t="shared" si="33"/>
        <v>784.10199999999998</v>
      </c>
      <c r="L48" s="58">
        <f t="shared" si="33"/>
        <v>768.38199999999995</v>
      </c>
      <c r="M48" s="58">
        <f>SUM(M37:O37)/3*4</f>
        <v>752.81600000000014</v>
      </c>
      <c r="N48" s="58">
        <f>(N37+O37)*2</f>
        <v>697.88</v>
      </c>
      <c r="O48" s="58">
        <f>O37*4</f>
        <v>506.11199999999997</v>
      </c>
      <c r="P48" s="51">
        <v>805.1875</v>
      </c>
      <c r="Q48" s="51">
        <v>805.1875</v>
      </c>
      <c r="R48" s="33"/>
      <c r="S48" s="33"/>
      <c r="T48" s="33"/>
    </row>
    <row r="50" spans="1:20" s="37" customFormat="1">
      <c r="A50" s="37" t="s">
        <v>78</v>
      </c>
      <c r="B50" s="37">
        <f t="shared" ref="B50:C50" si="34">+SUM(B39:B40)/B47</f>
        <v>1.9215828660864516</v>
      </c>
      <c r="C50" s="37">
        <f t="shared" si="34"/>
        <v>2.0263167374888993</v>
      </c>
      <c r="D50" s="37">
        <f t="shared" ref="D50:E50" si="35">+SUM(D39:D40)/D47</f>
        <v>1.9632989653173403</v>
      </c>
      <c r="E50" s="37">
        <f t="shared" si="35"/>
        <v>2.1052629368632356</v>
      </c>
      <c r="F50" s="37">
        <f t="shared" ref="F50:G50" si="36">+SUM(F39:F40)/F47</f>
        <v>2.1222457335599345</v>
      </c>
      <c r="G50" s="37">
        <f t="shared" si="36"/>
        <v>1.9295954603386021</v>
      </c>
      <c r="H50" s="37">
        <f t="shared" ref="H50:I50" si="37">+SUM(H39:H40)/H47</f>
        <v>1.7287750450985873</v>
      </c>
      <c r="I50" s="37">
        <f t="shared" si="37"/>
        <v>1.7862822232966855</v>
      </c>
      <c r="J50" s="37">
        <f t="shared" ref="J50:K50" si="38">+SUM(J39:J40)/J47</f>
        <v>1.7370961061364965</v>
      </c>
      <c r="K50" s="37">
        <f t="shared" si="38"/>
        <v>1.724622973159881</v>
      </c>
      <c r="L50" s="37">
        <f t="shared" ref="L50:Q50" si="39">+SUM(L39:L40)/L47</f>
        <v>1.7890833437757516</v>
      </c>
      <c r="M50" s="37">
        <f t="shared" si="39"/>
        <v>1.8619141355944158</v>
      </c>
      <c r="N50" s="37">
        <f t="shared" si="39"/>
        <v>1.8338812375995148</v>
      </c>
      <c r="O50" s="37">
        <f t="shared" si="39"/>
        <v>1.1863260821230976</v>
      </c>
      <c r="P50" s="37">
        <f t="shared" si="39"/>
        <v>1.3645454545454545</v>
      </c>
      <c r="Q50" s="37">
        <f t="shared" si="39"/>
        <v>1.3645454545454545</v>
      </c>
    </row>
    <row r="51" spans="1:20" s="37" customFormat="1">
      <c r="A51" s="37" t="s">
        <v>79</v>
      </c>
      <c r="B51" s="37">
        <f t="shared" ref="B51:C51" si="40">+B41/B47</f>
        <v>1.9225037119668249</v>
      </c>
      <c r="C51" s="37">
        <f t="shared" si="40"/>
        <v>2.0272424125190107</v>
      </c>
      <c r="D51" s="37">
        <f t="shared" ref="D51:E51" si="41">+D41/D47</f>
        <v>1.9642322739647862</v>
      </c>
      <c r="E51" s="37">
        <f t="shared" si="41"/>
        <v>2.1062078465298715</v>
      </c>
      <c r="F51" s="37">
        <f t="shared" ref="F51:G51" si="42">+F41/F47</f>
        <v>2.1230390862560324</v>
      </c>
      <c r="G51" s="37">
        <f t="shared" si="42"/>
        <v>1.9302539835869195</v>
      </c>
      <c r="H51" s="37">
        <f t="shared" ref="H51:I51" si="43">+H41/H47</f>
        <v>1.72936554801819</v>
      </c>
      <c r="I51" s="37">
        <f t="shared" si="43"/>
        <v>1.7869298263318203</v>
      </c>
      <c r="J51" s="37">
        <f t="shared" ref="J51:K51" si="44">+J41/J47</f>
        <v>1.7377477165878839</v>
      </c>
      <c r="K51" s="37">
        <f t="shared" si="44"/>
        <v>1.7252551342939355</v>
      </c>
      <c r="L51" s="37">
        <f t="shared" ref="L51:Q51" si="45">+L41/L47</f>
        <v>1.7897065694290806</v>
      </c>
      <c r="M51" s="37">
        <f t="shared" si="45"/>
        <v>1.8626811070779781</v>
      </c>
      <c r="N51" s="37">
        <f t="shared" si="45"/>
        <v>1.8346541146780229</v>
      </c>
      <c r="O51" s="37">
        <f t="shared" si="45"/>
        <v>1.1871364862295748</v>
      </c>
      <c r="P51" s="37">
        <f t="shared" si="45"/>
        <v>1.3645454545454545</v>
      </c>
      <c r="Q51" s="37">
        <f t="shared" si="45"/>
        <v>1.3645454545454545</v>
      </c>
    </row>
    <row r="52" spans="1:20" s="37" customFormat="1">
      <c r="A52" s="37" t="s">
        <v>80</v>
      </c>
      <c r="B52" s="37">
        <f t="shared" ref="B52:C52" si="46">+(B41-B44)/B47</f>
        <v>1.746166361005576</v>
      </c>
      <c r="C52" s="37">
        <f t="shared" si="46"/>
        <v>1.8761803922919935</v>
      </c>
      <c r="D52" s="37">
        <f t="shared" ref="D52:E52" si="47">+(D41-D44)/D47</f>
        <v>1.8322032457894881</v>
      </c>
      <c r="E52" s="37">
        <f t="shared" si="47"/>
        <v>1.9678436741447518</v>
      </c>
      <c r="F52" s="37">
        <f t="shared" ref="F52:G52" si="48">+(F41-F44)/F47</f>
        <v>1.890418158851523</v>
      </c>
      <c r="G52" s="37">
        <f t="shared" si="48"/>
        <v>1.7684327997770168</v>
      </c>
      <c r="H52" s="37">
        <f t="shared" ref="H52:I52" si="49">+(H41-H44)/H47</f>
        <v>1.6521565758080778</v>
      </c>
      <c r="I52" s="37">
        <f t="shared" si="49"/>
        <v>1.4524542663263096</v>
      </c>
      <c r="J52" s="37">
        <f t="shared" ref="J52:K52" si="50">+(J41-J44)/J47</f>
        <v>1.5624576730760198</v>
      </c>
      <c r="K52" s="37">
        <f t="shared" si="50"/>
        <v>1.6893712924173758</v>
      </c>
      <c r="L52" s="37">
        <f t="shared" ref="L52:Q52" si="51">+(L41-L44)/L47</f>
        <v>1.7483130999376775</v>
      </c>
      <c r="M52" s="37">
        <f t="shared" si="51"/>
        <v>1.7752284420440287</v>
      </c>
      <c r="N52" s="37">
        <f t="shared" si="51"/>
        <v>1.6967316680364271</v>
      </c>
      <c r="O52" s="37">
        <f t="shared" si="51"/>
        <v>1.0756672541962178</v>
      </c>
      <c r="P52" s="37">
        <f t="shared" si="51"/>
        <v>1.3527272727272728</v>
      </c>
      <c r="Q52" s="37">
        <f t="shared" si="51"/>
        <v>1.3527272727272728</v>
      </c>
    </row>
    <row r="53" spans="1:20" s="38" customFormat="1">
      <c r="A53" s="38" t="s">
        <v>81</v>
      </c>
      <c r="B53" s="38">
        <f t="shared" ref="B53:C53" si="52">+B48/B41</f>
        <v>0.35921527215214283</v>
      </c>
      <c r="C53" s="38">
        <f t="shared" si="52"/>
        <v>0.3943756427224312</v>
      </c>
      <c r="D53" s="38">
        <f t="shared" ref="D53:E53" si="53">+D48/D41</f>
        <v>0.4076038206846358</v>
      </c>
      <c r="E53" s="38">
        <f t="shared" si="53"/>
        <v>0.38979102446001473</v>
      </c>
      <c r="F53" s="38">
        <f t="shared" ref="F53:G53" si="54">+F48/F41</f>
        <v>0.39394229567772276</v>
      </c>
      <c r="G53" s="38">
        <f t="shared" si="54"/>
        <v>0.39922035004332002</v>
      </c>
      <c r="H53" s="38">
        <f t="shared" ref="H53:I53" si="55">+H48/H41</f>
        <v>0.4088722395953715</v>
      </c>
      <c r="I53" s="38">
        <f t="shared" si="55"/>
        <v>0.36559757056947628</v>
      </c>
      <c r="J53" s="38">
        <f t="shared" ref="J53:K53" si="56">+J48/J41</f>
        <v>0.36822460311960786</v>
      </c>
      <c r="K53" s="38">
        <f t="shared" si="56"/>
        <v>0.38564770549791266</v>
      </c>
      <c r="L53" s="38">
        <f t="shared" ref="L53:Q53" si="57">+L48/L41</f>
        <v>0.3562876222854689</v>
      </c>
      <c r="M53" s="38">
        <f t="shared" si="57"/>
        <v>0.34480206363862881</v>
      </c>
      <c r="N53" s="38">
        <f t="shared" si="57"/>
        <v>0.31578194810330834</v>
      </c>
      <c r="O53" s="38">
        <f t="shared" si="57"/>
        <v>0.34343901811748845</v>
      </c>
      <c r="P53" s="38">
        <f t="shared" si="57"/>
        <v>0.53643404397068617</v>
      </c>
      <c r="Q53" s="38">
        <f t="shared" si="57"/>
        <v>0.53643404397068617</v>
      </c>
    </row>
    <row r="54" spans="1:20" s="38" customFormat="1">
      <c r="A54" s="39" t="s">
        <v>82</v>
      </c>
      <c r="B54" s="40"/>
      <c r="C54" s="40"/>
      <c r="D54" s="40"/>
      <c r="E54" s="40"/>
      <c r="F54" s="40"/>
      <c r="G54" s="40"/>
      <c r="H54" s="40"/>
      <c r="I54" s="40"/>
      <c r="J54" s="40"/>
      <c r="K54" s="40"/>
      <c r="L54" s="40"/>
      <c r="M54" s="40"/>
      <c r="N54" s="40">
        <v>9</v>
      </c>
      <c r="O54" s="40">
        <v>9</v>
      </c>
      <c r="P54" s="40">
        <v>9</v>
      </c>
      <c r="Q54" s="40">
        <v>9</v>
      </c>
      <c r="R54" s="40"/>
      <c r="S54" s="40"/>
      <c r="T54" s="40"/>
    </row>
    <row r="55" spans="1:20" s="38" customFormat="1">
      <c r="A55" s="38" t="s">
        <v>83</v>
      </c>
      <c r="B55" s="41">
        <f t="shared" ref="B55:C55" si="58">IF(B42=0,IF(B54="","","*"&amp;TEXT(B54,"0.0x")),(B41+B42-B44)/B47)</f>
        <v>6.4520660324366403</v>
      </c>
      <c r="C55" s="41">
        <f t="shared" si="58"/>
        <v>7.4394267277309361</v>
      </c>
      <c r="D55" s="41">
        <f t="shared" ref="D55:E55" si="59">IF(D42=0,IF(D54="","","*"&amp;TEXT(D54,"0.0x")),(D41+D42-D44)/D47)</f>
        <v>6.9696805099810906</v>
      </c>
      <c r="E55" s="41">
        <f t="shared" si="59"/>
        <v>4.4925340828916758</v>
      </c>
      <c r="F55" s="41">
        <f t="shared" ref="F55:G55" si="60">IF(F42=0,IF(F54="","","*"&amp;TEXT(F54,"0.0x")),(F41+F42-F44)/F47)</f>
        <v>4.2353888764018484</v>
      </c>
      <c r="G55" s="41">
        <f t="shared" si="60"/>
        <v>3.7467297187392945</v>
      </c>
      <c r="H55" s="41">
        <f t="shared" ref="H55:I55" si="61">IF(H42=0,IF(H54="","","*"&amp;TEXT(H54,"0.0x")),(H41+H42-H44)/H47)</f>
        <v>4.1996994072171088</v>
      </c>
      <c r="I55" s="41">
        <f t="shared" si="61"/>
        <v>4.4352160589582015</v>
      </c>
      <c r="J55" s="41">
        <f t="shared" ref="J55:K55" si="62">IF(J42=0,IF(J54="","","*"&amp;TEXT(J54,"0.0x")),(J41+J42-J44)/J47)</f>
        <v>4.3811274417841988</v>
      </c>
      <c r="K55" s="41">
        <f t="shared" si="62"/>
        <v>4.4357414551585634</v>
      </c>
      <c r="L55" s="41">
        <f t="shared" ref="L55:Q55" si="63">IF(L42=0,IF(L54="","","*"&amp;TEXT(L54,"0.0x")),(L41+L42-L44)/L47)</f>
        <v>5.3407902590909213</v>
      </c>
      <c r="M55" s="41">
        <f t="shared" si="63"/>
        <v>5.9592540133567358</v>
      </c>
      <c r="N55" s="41" t="str">
        <f t="shared" si="63"/>
        <v>*9.0x</v>
      </c>
      <c r="O55" s="41" t="str">
        <f t="shared" si="63"/>
        <v>*9.0x</v>
      </c>
      <c r="P55" s="41" t="str">
        <f t="shared" si="63"/>
        <v>*9.0x</v>
      </c>
      <c r="Q55" s="41" t="str">
        <f t="shared" si="63"/>
        <v>*9.0x</v>
      </c>
      <c r="R55" s="41"/>
      <c r="S55" s="41"/>
      <c r="T55" s="41"/>
    </row>
    <row r="57" spans="1:20" ht="80.25" customHeight="1">
      <c r="A57" s="43" t="s">
        <v>84</v>
      </c>
      <c r="B57" s="44" t="s">
        <v>290</v>
      </c>
      <c r="C57" s="44" t="s">
        <v>290</v>
      </c>
      <c r="D57" s="44" t="s">
        <v>301</v>
      </c>
      <c r="E57" s="44" t="s">
        <v>290</v>
      </c>
      <c r="F57" s="44" t="s">
        <v>290</v>
      </c>
      <c r="G57" s="44" t="s">
        <v>290</v>
      </c>
      <c r="H57" s="44" t="s">
        <v>301</v>
      </c>
      <c r="I57" s="44" t="s">
        <v>290</v>
      </c>
      <c r="J57" s="44" t="s">
        <v>290</v>
      </c>
      <c r="K57" s="44" t="s">
        <v>290</v>
      </c>
      <c r="L57" s="44" t="s">
        <v>301</v>
      </c>
      <c r="M57" s="44"/>
      <c r="N57" s="44" t="s">
        <v>279</v>
      </c>
      <c r="O57" s="44" t="s">
        <v>278</v>
      </c>
      <c r="P57" s="44" t="s">
        <v>202</v>
      </c>
      <c r="Q57" s="44" t="s">
        <v>202</v>
      </c>
      <c r="R57" s="44"/>
      <c r="S57" s="44"/>
      <c r="T57" s="44"/>
    </row>
    <row r="58" spans="1:20">
      <c r="A58" s="45"/>
      <c r="B58" s="42"/>
      <c r="C58" s="42"/>
      <c r="D58" s="42"/>
      <c r="E58" s="42"/>
      <c r="F58" s="42"/>
      <c r="G58" s="42"/>
      <c r="H58" s="42"/>
      <c r="I58" s="42"/>
      <c r="J58" s="42"/>
      <c r="K58" s="42"/>
      <c r="L58" s="42"/>
      <c r="M58" s="42"/>
      <c r="N58" s="42"/>
      <c r="O58" s="42"/>
      <c r="P58" s="42"/>
      <c r="Q58" s="42"/>
    </row>
    <row r="59" spans="1:20">
      <c r="A59" s="45"/>
    </row>
  </sheetData>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V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22" width="10.6640625" style="14" customWidth="1"/>
    <col min="23" max="16384" width="9.109375" style="14"/>
  </cols>
  <sheetData>
    <row r="2" spans="1:22">
      <c r="A2" s="13" t="s">
        <v>44</v>
      </c>
      <c r="B2" s="14" t="s">
        <v>23</v>
      </c>
    </row>
    <row r="3" spans="1:22" s="16" customFormat="1">
      <c r="A3" s="15" t="s">
        <v>45</v>
      </c>
      <c r="B3" s="16" t="s">
        <v>111</v>
      </c>
    </row>
    <row r="4" spans="1:22">
      <c r="A4" s="13" t="s">
        <v>2</v>
      </c>
      <c r="B4" s="14" t="s">
        <v>4</v>
      </c>
    </row>
    <row r="5" spans="1:22">
      <c r="A5" s="13" t="s">
        <v>46</v>
      </c>
    </row>
    <row r="6" spans="1:22">
      <c r="A6" s="13" t="s">
        <v>47</v>
      </c>
      <c r="B6" s="14">
        <v>6</v>
      </c>
    </row>
    <row r="7" spans="1:22">
      <c r="A7" s="13" t="s">
        <v>48</v>
      </c>
      <c r="B7" s="14" t="s">
        <v>258</v>
      </c>
    </row>
    <row r="8" spans="1:22">
      <c r="A8" s="13" t="s">
        <v>347</v>
      </c>
      <c r="B8" s="14" t="s">
        <v>378</v>
      </c>
    </row>
    <row r="9" spans="1:22">
      <c r="A9" s="17"/>
    </row>
    <row r="10" spans="1:22">
      <c r="A10" s="17" t="s">
        <v>49</v>
      </c>
      <c r="B10" s="18">
        <v>44286</v>
      </c>
      <c r="C10" s="18">
        <v>44196</v>
      </c>
      <c r="D10" s="18">
        <v>44104</v>
      </c>
      <c r="E10" s="18">
        <v>44012</v>
      </c>
      <c r="F10" s="18">
        <v>43921</v>
      </c>
      <c r="G10" s="18">
        <v>43830</v>
      </c>
      <c r="H10" s="18">
        <v>43738</v>
      </c>
      <c r="I10" s="18">
        <v>43646</v>
      </c>
      <c r="J10" s="18">
        <v>43555</v>
      </c>
      <c r="K10" s="18">
        <v>43465</v>
      </c>
      <c r="L10" s="18">
        <v>43373</v>
      </c>
      <c r="M10" s="18">
        <v>43281</v>
      </c>
      <c r="N10" s="18">
        <v>43190</v>
      </c>
      <c r="O10" s="18">
        <v>43100</v>
      </c>
      <c r="P10" s="18">
        <v>43008</v>
      </c>
      <c r="Q10" s="18">
        <v>42916</v>
      </c>
      <c r="R10" s="18">
        <v>42825</v>
      </c>
      <c r="S10" s="18">
        <v>42735</v>
      </c>
      <c r="T10" s="18">
        <v>42643</v>
      </c>
      <c r="U10" s="18">
        <v>42551</v>
      </c>
      <c r="V10" s="18">
        <v>42460</v>
      </c>
    </row>
    <row r="12" spans="1:22">
      <c r="A12" s="19" t="s">
        <v>50</v>
      </c>
      <c r="B12" s="20">
        <v>1311.7</v>
      </c>
      <c r="C12" s="20">
        <f>3869.3-D12-E12-F12</f>
        <v>889.40000000000009</v>
      </c>
      <c r="D12" s="20">
        <v>973.6</v>
      </c>
      <c r="E12" s="20">
        <v>629.4</v>
      </c>
      <c r="F12" s="20">
        <v>1376.9</v>
      </c>
      <c r="G12" s="20">
        <v>1845.1999999999998</v>
      </c>
      <c r="H12" s="20">
        <v>1833.8</v>
      </c>
      <c r="I12" s="20">
        <v>1851.9</v>
      </c>
      <c r="J12" s="20">
        <v>1757.7</v>
      </c>
      <c r="K12" s="20">
        <f>9269.6-L12-M12-N12</f>
        <v>2023.3000000000011</v>
      </c>
      <c r="L12" s="20">
        <v>2321.6999999999998</v>
      </c>
      <c r="M12" s="20">
        <v>2399.6</v>
      </c>
      <c r="N12" s="20">
        <v>2525</v>
      </c>
      <c r="O12" s="20">
        <f>12374.8-R12-Q12-P12</f>
        <v>3236.7999999999984</v>
      </c>
      <c r="P12" s="20">
        <v>3202.3</v>
      </c>
      <c r="Q12" s="20">
        <v>3058.5</v>
      </c>
      <c r="R12" s="20">
        <v>2877.2</v>
      </c>
      <c r="S12" s="20">
        <v>2638.1000000000004</v>
      </c>
      <c r="T12" s="20">
        <v>2461</v>
      </c>
      <c r="U12" s="20">
        <v>2336.5</v>
      </c>
      <c r="V12" s="20">
        <v>1544.1</v>
      </c>
    </row>
    <row r="13" spans="1:22" s="21" customFormat="1">
      <c r="A13" s="21" t="s">
        <v>51</v>
      </c>
      <c r="B13" s="21">
        <f t="shared" ref="B13:R13" si="0">+B12/F12-1</f>
        <v>-4.7352748928753075E-2</v>
      </c>
      <c r="C13" s="21">
        <f t="shared" si="0"/>
        <v>-0.5179926295252546</v>
      </c>
      <c r="D13" s="21">
        <f t="shared" si="0"/>
        <v>-0.46908059766604859</v>
      </c>
      <c r="E13" s="21">
        <f t="shared" si="0"/>
        <v>-0.66013283654624977</v>
      </c>
      <c r="F13" s="21">
        <f t="shared" si="0"/>
        <v>-0.21664675428116287</v>
      </c>
      <c r="G13" s="21">
        <f t="shared" si="0"/>
        <v>-8.8024514407157195E-2</v>
      </c>
      <c r="H13" s="21">
        <f t="shared" si="0"/>
        <v>-0.21014773657233921</v>
      </c>
      <c r="I13" s="21">
        <f t="shared" si="0"/>
        <v>-0.22824637439573259</v>
      </c>
      <c r="J13" s="21">
        <f t="shared" si="0"/>
        <v>-0.30388118811881182</v>
      </c>
      <c r="K13" s="21">
        <f t="shared" si="0"/>
        <v>-0.37490731586752279</v>
      </c>
      <c r="L13" s="21">
        <f t="shared" si="0"/>
        <v>-0.27498985104456186</v>
      </c>
      <c r="M13" s="21">
        <f t="shared" si="0"/>
        <v>-0.21543240150400522</v>
      </c>
      <c r="N13" s="21">
        <f t="shared" si="0"/>
        <v>-0.12241067704712905</v>
      </c>
      <c r="O13" s="21">
        <f t="shared" si="0"/>
        <v>0.22694363367575066</v>
      </c>
      <c r="P13" s="21">
        <f t="shared" si="0"/>
        <v>0.30121901665989448</v>
      </c>
      <c r="Q13" s="21">
        <f t="shared" si="0"/>
        <v>0.30900920179756053</v>
      </c>
      <c r="R13" s="21">
        <f t="shared" si="0"/>
        <v>0.86335081924745816</v>
      </c>
    </row>
    <row r="14" spans="1:22"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t="s">
        <v>3</v>
      </c>
      <c r="P14" s="23" t="s">
        <v>3</v>
      </c>
      <c r="Q14" s="23" t="s">
        <v>3</v>
      </c>
      <c r="R14" s="23" t="s">
        <v>3</v>
      </c>
      <c r="S14" s="23"/>
      <c r="T14" s="23"/>
      <c r="U14" s="22"/>
      <c r="V14" s="22"/>
    </row>
    <row r="16" spans="1:22" s="17" customFormat="1">
      <c r="A16" s="25" t="s">
        <v>53</v>
      </c>
      <c r="B16" s="26">
        <f>14.8+8</f>
        <v>22.8</v>
      </c>
      <c r="C16" s="26">
        <f>6.9+0.4</f>
        <v>7.3000000000000007</v>
      </c>
      <c r="D16" s="26">
        <v>32.4</v>
      </c>
      <c r="E16" s="26">
        <v>21.3</v>
      </c>
      <c r="F16" s="26">
        <f>24.1-2</f>
        <v>22.1</v>
      </c>
      <c r="G16" s="26">
        <v>37</v>
      </c>
      <c r="H16" s="26">
        <v>32.9</v>
      </c>
      <c r="I16" s="26">
        <f>30.5-11.1+0.8</f>
        <v>20.2</v>
      </c>
      <c r="J16" s="26">
        <v>10.6</v>
      </c>
      <c r="K16" s="26">
        <f>115-L16-M16-N16</f>
        <v>49.100000000000009</v>
      </c>
      <c r="L16" s="26">
        <f>25.7-1.5+1.3</f>
        <v>25.5</v>
      </c>
      <c r="M16" s="26">
        <f>34.6-16+1.5</f>
        <v>20.100000000000001</v>
      </c>
      <c r="N16" s="26">
        <v>20.3</v>
      </c>
      <c r="O16" s="26">
        <f>87.4-R16-Q16-P16</f>
        <v>13.300000000000006</v>
      </c>
      <c r="P16" s="26">
        <f>17.7-14.5+0.6</f>
        <v>3.7999999999999994</v>
      </c>
      <c r="Q16" s="26">
        <f>9.8+12.1+5.3+1.5</f>
        <v>28.7</v>
      </c>
      <c r="R16" s="26">
        <v>41.6</v>
      </c>
      <c r="S16" s="26">
        <v>10.9</v>
      </c>
      <c r="T16" s="26">
        <v>17</v>
      </c>
      <c r="U16" s="26">
        <v>63.100000000000186</v>
      </c>
      <c r="V16" s="26">
        <v>13</v>
      </c>
    </row>
    <row r="17" spans="1:22" s="21" customFormat="1">
      <c r="A17" s="21" t="s">
        <v>54</v>
      </c>
      <c r="B17" s="21">
        <f t="shared" ref="B17" si="1">+B16/B12</f>
        <v>1.7382023328504994E-2</v>
      </c>
      <c r="C17" s="21">
        <f t="shared" ref="C17:F17" si="2">+C16/C12</f>
        <v>8.2077805261974359E-3</v>
      </c>
      <c r="D17" s="21">
        <f t="shared" si="2"/>
        <v>3.3278553820870992E-2</v>
      </c>
      <c r="E17" s="21">
        <f t="shared" si="2"/>
        <v>3.3841754051477602E-2</v>
      </c>
      <c r="F17" s="21">
        <f t="shared" si="2"/>
        <v>1.6050548333212289E-2</v>
      </c>
      <c r="G17" s="21">
        <f t="shared" ref="G17:H17" si="3">+G16/G12</f>
        <v>2.0052026880554956E-2</v>
      </c>
      <c r="H17" s="21">
        <f t="shared" si="3"/>
        <v>1.7940887774021159E-2</v>
      </c>
      <c r="I17" s="21">
        <f t="shared" ref="I17:J17" si="4">+I16/I12</f>
        <v>1.0907716399373615E-2</v>
      </c>
      <c r="J17" s="21">
        <f t="shared" si="4"/>
        <v>6.0306081811458152E-3</v>
      </c>
      <c r="K17" s="21">
        <f t="shared" ref="K17:V17" si="5">+K16/K12</f>
        <v>2.4267286116739971E-2</v>
      </c>
      <c r="L17" s="21">
        <f t="shared" si="5"/>
        <v>1.0983331179738985E-2</v>
      </c>
      <c r="M17" s="21">
        <f t="shared" si="5"/>
        <v>8.3763960660110034E-3</v>
      </c>
      <c r="N17" s="21">
        <f t="shared" si="5"/>
        <v>8.0396039603960398E-3</v>
      </c>
      <c r="O17" s="21">
        <f t="shared" si="5"/>
        <v>4.1089965397923915E-3</v>
      </c>
      <c r="P17" s="21">
        <f t="shared" si="5"/>
        <v>1.1866470973987443E-3</v>
      </c>
      <c r="Q17" s="21">
        <f t="shared" si="5"/>
        <v>9.3836848128167408E-3</v>
      </c>
      <c r="R17" s="21">
        <f t="shared" si="5"/>
        <v>1.4458501320728488E-2</v>
      </c>
      <c r="S17" s="21">
        <f t="shared" si="5"/>
        <v>4.1317614950153519E-3</v>
      </c>
      <c r="T17" s="21">
        <f t="shared" si="5"/>
        <v>6.9077610727346604E-3</v>
      </c>
      <c r="U17" s="21">
        <f t="shared" si="5"/>
        <v>2.7006205863471085E-2</v>
      </c>
      <c r="V17" s="21">
        <f t="shared" si="5"/>
        <v>8.4191438378343371E-3</v>
      </c>
    </row>
    <row r="18" spans="1:22" s="24" customFormat="1"/>
    <row r="19" spans="1:22"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row>
    <row r="20" spans="1:22"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row>
    <row r="21" spans="1:22" s="24" customFormat="1">
      <c r="A21" s="19" t="s">
        <v>57</v>
      </c>
      <c r="B21" s="20">
        <f>0.9+0.5</f>
        <v>1.4</v>
      </c>
      <c r="C21" s="20">
        <f>0.8+0.1</f>
        <v>0.9</v>
      </c>
      <c r="D21" s="20">
        <v>0.8</v>
      </c>
      <c r="E21" s="20">
        <f>0.8+0.1</f>
        <v>0.9</v>
      </c>
      <c r="F21" s="20">
        <f>0.7</f>
        <v>0.7</v>
      </c>
      <c r="G21" s="20">
        <f>0.6+0.9</f>
        <v>1.5</v>
      </c>
      <c r="H21" s="20">
        <f>0.9+0.1</f>
        <v>1</v>
      </c>
      <c r="I21" s="20">
        <f t="shared" ref="I21:V21" si="6">I22-I16-I19-I20</f>
        <v>11.900000000000002</v>
      </c>
      <c r="J21" s="20">
        <f t="shared" ref="J21" si="7">J22-J16-J19-J20</f>
        <v>22.1</v>
      </c>
      <c r="K21" s="20">
        <f t="shared" si="6"/>
        <v>-28.1</v>
      </c>
      <c r="L21" s="20">
        <v>0.5</v>
      </c>
      <c r="M21" s="20">
        <f t="shared" si="6"/>
        <v>3.1999999999999993</v>
      </c>
      <c r="N21" s="20">
        <f t="shared" si="6"/>
        <v>5.8000000000000007</v>
      </c>
      <c r="O21" s="20">
        <f t="shared" si="6"/>
        <v>5.1999999999999975</v>
      </c>
      <c r="P21" s="20">
        <v>4.7</v>
      </c>
      <c r="Q21" s="20">
        <f t="shared" si="6"/>
        <v>2.1000000000000014</v>
      </c>
      <c r="R21" s="20">
        <f t="shared" si="6"/>
        <v>-12.700000000000003</v>
      </c>
      <c r="S21" s="20">
        <f t="shared" si="6"/>
        <v>26.300000000000018</v>
      </c>
      <c r="T21" s="20">
        <f t="shared" si="6"/>
        <v>21</v>
      </c>
      <c r="U21" s="20">
        <f t="shared" si="6"/>
        <v>-25.4</v>
      </c>
      <c r="V21" s="20">
        <f t="shared" si="6"/>
        <v>42.300000000000004</v>
      </c>
    </row>
    <row r="22" spans="1:22" s="17" customFormat="1">
      <c r="A22" s="17" t="s">
        <v>58</v>
      </c>
      <c r="B22" s="27">
        <f t="shared" ref="B22:H22" si="8">B16+B19+B20+B21</f>
        <v>24.2</v>
      </c>
      <c r="C22" s="27">
        <f t="shared" si="8"/>
        <v>8.2000000000000011</v>
      </c>
      <c r="D22" s="27">
        <f t="shared" si="8"/>
        <v>33.199999999999996</v>
      </c>
      <c r="E22" s="27">
        <f t="shared" si="8"/>
        <v>22.2</v>
      </c>
      <c r="F22" s="27">
        <f t="shared" si="8"/>
        <v>22.8</v>
      </c>
      <c r="G22" s="27">
        <f t="shared" si="8"/>
        <v>38.5</v>
      </c>
      <c r="H22" s="27">
        <f t="shared" si="8"/>
        <v>33.9</v>
      </c>
      <c r="I22" s="27">
        <v>32.1</v>
      </c>
      <c r="J22" s="27">
        <v>32.700000000000003</v>
      </c>
      <c r="K22" s="27">
        <f>96.4-L22-M22-N22</f>
        <v>21.000000000000007</v>
      </c>
      <c r="L22" s="27">
        <f>L16+L19+L20+L21</f>
        <v>26</v>
      </c>
      <c r="M22" s="27">
        <v>23.3</v>
      </c>
      <c r="N22" s="27">
        <v>26.1</v>
      </c>
      <c r="O22" s="27">
        <f>86.7-R22-Q22-P22</f>
        <v>18.500000000000004</v>
      </c>
      <c r="P22" s="27">
        <f>P16+P19+P20+P21</f>
        <v>8.5</v>
      </c>
      <c r="Q22" s="27">
        <v>30.8</v>
      </c>
      <c r="R22" s="27">
        <v>28.9</v>
      </c>
      <c r="S22" s="27">
        <v>37.200000000000017</v>
      </c>
      <c r="T22" s="27">
        <v>38</v>
      </c>
      <c r="U22" s="27">
        <v>37.700000000000188</v>
      </c>
      <c r="V22" s="27">
        <v>55.300000000000004</v>
      </c>
    </row>
    <row r="23" spans="1:22" s="17" customFormat="1">
      <c r="B23" s="21"/>
      <c r="C23" s="21"/>
      <c r="D23" s="21"/>
      <c r="E23" s="21"/>
      <c r="F23" s="21"/>
      <c r="G23" s="21"/>
      <c r="H23" s="21"/>
      <c r="I23" s="21"/>
      <c r="J23" s="21"/>
      <c r="K23" s="27"/>
      <c r="L23" s="27"/>
      <c r="M23" s="27"/>
      <c r="N23" s="27"/>
      <c r="O23" s="27"/>
      <c r="P23" s="27"/>
      <c r="Q23" s="27"/>
      <c r="R23" s="27"/>
      <c r="S23" s="27"/>
      <c r="T23" s="27"/>
      <c r="U23" s="27"/>
      <c r="V23" s="27"/>
    </row>
    <row r="24" spans="1:22" s="17" customFormat="1">
      <c r="A24" s="17" t="s">
        <v>59</v>
      </c>
      <c r="B24" s="27">
        <f t="shared" ref="B24:S24" si="9">SUM(B22:E22)</f>
        <v>87.8</v>
      </c>
      <c r="C24" s="27">
        <f t="shared" si="9"/>
        <v>86.399999999999991</v>
      </c>
      <c r="D24" s="27">
        <f t="shared" si="9"/>
        <v>116.69999999999999</v>
      </c>
      <c r="E24" s="27">
        <f t="shared" si="9"/>
        <v>117.4</v>
      </c>
      <c r="F24" s="27">
        <f t="shared" si="9"/>
        <v>127.29999999999998</v>
      </c>
      <c r="G24" s="27">
        <f t="shared" si="9"/>
        <v>137.19999999999999</v>
      </c>
      <c r="H24" s="27">
        <f t="shared" si="9"/>
        <v>119.70000000000002</v>
      </c>
      <c r="I24" s="27">
        <f t="shared" si="9"/>
        <v>111.80000000000001</v>
      </c>
      <c r="J24" s="27">
        <f t="shared" si="9"/>
        <v>103.00000000000001</v>
      </c>
      <c r="K24" s="27">
        <f t="shared" si="9"/>
        <v>96.4</v>
      </c>
      <c r="L24" s="27">
        <f t="shared" si="9"/>
        <v>93.9</v>
      </c>
      <c r="M24" s="27">
        <f t="shared" si="9"/>
        <v>76.400000000000006</v>
      </c>
      <c r="N24" s="27">
        <f t="shared" si="9"/>
        <v>83.9</v>
      </c>
      <c r="O24" s="27">
        <f t="shared" si="9"/>
        <v>86.7</v>
      </c>
      <c r="P24" s="27">
        <f t="shared" si="9"/>
        <v>105.4</v>
      </c>
      <c r="Q24" s="27">
        <f t="shared" si="9"/>
        <v>134.90000000000003</v>
      </c>
      <c r="R24" s="27">
        <f t="shared" si="9"/>
        <v>141.80000000000021</v>
      </c>
      <c r="S24" s="27">
        <f t="shared" si="9"/>
        <v>168.20000000000022</v>
      </c>
      <c r="T24" s="27"/>
      <c r="U24" s="27"/>
      <c r="V24" s="27"/>
    </row>
    <row r="25" spans="1:22" s="24" customFormat="1">
      <c r="A25" s="19" t="s">
        <v>60</v>
      </c>
      <c r="B25" s="28">
        <f>-B23</f>
        <v>0</v>
      </c>
      <c r="C25" s="28">
        <f>-C23</f>
        <v>0</v>
      </c>
      <c r="D25" s="28">
        <v>0</v>
      </c>
      <c r="E25" s="28">
        <v>0</v>
      </c>
      <c r="F25" s="28">
        <v>0</v>
      </c>
      <c r="G25" s="28">
        <v>0</v>
      </c>
      <c r="H25" s="28">
        <v>0</v>
      </c>
      <c r="I25" s="28">
        <v>0</v>
      </c>
      <c r="J25" s="28">
        <v>0</v>
      </c>
      <c r="K25" s="28">
        <v>0</v>
      </c>
      <c r="L25" s="28">
        <v>0</v>
      </c>
      <c r="M25" s="28">
        <v>0</v>
      </c>
      <c r="N25" s="28">
        <v>0</v>
      </c>
      <c r="O25" s="28">
        <v>0</v>
      </c>
      <c r="P25" s="28">
        <v>0</v>
      </c>
      <c r="Q25" s="28">
        <v>0</v>
      </c>
      <c r="R25" s="28">
        <v>0</v>
      </c>
      <c r="S25" s="28">
        <v>0</v>
      </c>
      <c r="T25" s="28"/>
      <c r="U25" s="28"/>
      <c r="V25" s="28"/>
    </row>
    <row r="26" spans="1:22" s="24" customFormat="1">
      <c r="A26" s="19" t="s">
        <v>61</v>
      </c>
      <c r="B26" s="29">
        <f>C26</f>
        <v>15.000000000000014</v>
      </c>
      <c r="C26" s="29">
        <f>101.4-C25-C24</f>
        <v>15.000000000000014</v>
      </c>
      <c r="D26" s="29">
        <f>123.5-D25-D24</f>
        <v>6.8000000000000114</v>
      </c>
      <c r="E26" s="29">
        <f>123.8-E25-E24</f>
        <v>6.3999999999999915</v>
      </c>
      <c r="F26" s="29">
        <f>111.7-F25-F24</f>
        <v>-15.59999999999998</v>
      </c>
      <c r="G26" s="29">
        <f>119.4-G25-G24</f>
        <v>-17.799999999999983</v>
      </c>
      <c r="H26" s="29">
        <f>114.6-H25-H24</f>
        <v>-5.1000000000000227</v>
      </c>
      <c r="I26" s="29">
        <f>117.2-I25-I24</f>
        <v>5.3999999999999915</v>
      </c>
      <c r="J26" s="29">
        <f>134.1-J24-J25</f>
        <v>31.09999999999998</v>
      </c>
      <c r="K26" s="29">
        <f>125.65-K25-K24</f>
        <v>29.25</v>
      </c>
      <c r="L26" s="29">
        <f>127.5-L25-L24</f>
        <v>33.599999999999994</v>
      </c>
      <c r="M26" s="29">
        <f>121.6-M24-M25</f>
        <v>45.199999999999989</v>
      </c>
      <c r="N26" s="29">
        <f>118.5-N24-N25</f>
        <v>34.599999999999994</v>
      </c>
      <c r="O26" s="29">
        <f>140.392-O24-O25</f>
        <v>53.691999999999993</v>
      </c>
      <c r="P26" s="29">
        <f>6.2+32.1</f>
        <v>38.300000000000004</v>
      </c>
      <c r="Q26" s="29">
        <v>0</v>
      </c>
      <c r="R26" s="29">
        <v>0</v>
      </c>
      <c r="S26" s="29">
        <v>0</v>
      </c>
      <c r="T26" s="29"/>
      <c r="U26" s="29"/>
      <c r="V26" s="30"/>
    </row>
    <row r="27" spans="1:22" s="32" customFormat="1">
      <c r="A27" s="17" t="s">
        <v>62</v>
      </c>
      <c r="B27" s="27">
        <f t="shared" ref="B27:F27" si="10">SUM(B24:B26)</f>
        <v>102.80000000000001</v>
      </c>
      <c r="C27" s="27">
        <f t="shared" si="10"/>
        <v>101.4</v>
      </c>
      <c r="D27" s="27">
        <f t="shared" si="10"/>
        <v>123.5</v>
      </c>
      <c r="E27" s="27">
        <f t="shared" si="10"/>
        <v>123.8</v>
      </c>
      <c r="F27" s="27">
        <f t="shared" si="10"/>
        <v>111.7</v>
      </c>
      <c r="G27" s="27">
        <f t="shared" ref="G27:S27" si="11">SUM(G24:G26)</f>
        <v>119.4</v>
      </c>
      <c r="H27" s="27">
        <f t="shared" si="11"/>
        <v>114.6</v>
      </c>
      <c r="I27" s="27">
        <f t="shared" si="11"/>
        <v>117.2</v>
      </c>
      <c r="J27" s="27">
        <f t="shared" si="11"/>
        <v>134.1</v>
      </c>
      <c r="K27" s="27">
        <f t="shared" si="11"/>
        <v>125.65</v>
      </c>
      <c r="L27" s="27">
        <f t="shared" si="11"/>
        <v>127.5</v>
      </c>
      <c r="M27" s="27">
        <f t="shared" si="11"/>
        <v>121.6</v>
      </c>
      <c r="N27" s="27">
        <f t="shared" si="11"/>
        <v>118.5</v>
      </c>
      <c r="O27" s="27">
        <f t="shared" si="11"/>
        <v>140.392</v>
      </c>
      <c r="P27" s="27">
        <f t="shared" si="11"/>
        <v>143.70000000000002</v>
      </c>
      <c r="Q27" s="27">
        <f t="shared" si="11"/>
        <v>134.90000000000003</v>
      </c>
      <c r="R27" s="27">
        <f t="shared" si="11"/>
        <v>141.80000000000021</v>
      </c>
      <c r="S27" s="27">
        <f t="shared" si="11"/>
        <v>168.20000000000022</v>
      </c>
      <c r="T27" s="27"/>
      <c r="U27" s="27"/>
      <c r="V27" s="31"/>
    </row>
    <row r="28" spans="1:22" s="24" customFormat="1">
      <c r="C28" s="88"/>
    </row>
    <row r="29" spans="1:22" s="17" customFormat="1">
      <c r="A29" s="17" t="s">
        <v>58</v>
      </c>
      <c r="B29" s="27">
        <f t="shared" ref="B29:F29" si="12">B22</f>
        <v>24.2</v>
      </c>
      <c r="C29" s="27">
        <f t="shared" si="12"/>
        <v>8.2000000000000011</v>
      </c>
      <c r="D29" s="27">
        <f t="shared" si="12"/>
        <v>33.199999999999996</v>
      </c>
      <c r="E29" s="27">
        <f t="shared" si="12"/>
        <v>22.2</v>
      </c>
      <c r="F29" s="27">
        <f t="shared" si="12"/>
        <v>22.8</v>
      </c>
      <c r="G29" s="27">
        <f t="shared" ref="G29:N29" si="13">G22</f>
        <v>38.5</v>
      </c>
      <c r="H29" s="27">
        <f t="shared" si="13"/>
        <v>33.9</v>
      </c>
      <c r="I29" s="27">
        <f t="shared" si="13"/>
        <v>32.1</v>
      </c>
      <c r="J29" s="27">
        <f t="shared" si="13"/>
        <v>32.700000000000003</v>
      </c>
      <c r="K29" s="27">
        <f t="shared" si="13"/>
        <v>21.000000000000007</v>
      </c>
      <c r="L29" s="27">
        <f t="shared" si="13"/>
        <v>26</v>
      </c>
      <c r="M29" s="27">
        <f t="shared" si="13"/>
        <v>23.3</v>
      </c>
      <c r="N29" s="27">
        <f t="shared" si="13"/>
        <v>26.1</v>
      </c>
      <c r="O29" s="27">
        <f t="shared" ref="O29:V29" si="14">O22</f>
        <v>18.500000000000004</v>
      </c>
      <c r="P29" s="27">
        <f t="shared" si="14"/>
        <v>8.5</v>
      </c>
      <c r="Q29" s="27">
        <f t="shared" si="14"/>
        <v>30.8</v>
      </c>
      <c r="R29" s="27">
        <f t="shared" si="14"/>
        <v>28.9</v>
      </c>
      <c r="S29" s="27">
        <f t="shared" si="14"/>
        <v>37.200000000000017</v>
      </c>
      <c r="T29" s="27">
        <f t="shared" si="14"/>
        <v>38</v>
      </c>
      <c r="U29" s="27">
        <f t="shared" si="14"/>
        <v>37.700000000000188</v>
      </c>
      <c r="V29" s="27">
        <f t="shared" si="14"/>
        <v>55.300000000000004</v>
      </c>
    </row>
    <row r="30" spans="1:22" s="33" customFormat="1">
      <c r="A30" s="20" t="s">
        <v>63</v>
      </c>
      <c r="B30" s="20">
        <f>-23.4+2.8</f>
        <v>-20.599999999999998</v>
      </c>
      <c r="C30" s="20">
        <f>-82.1-D30-E30-F30</f>
        <v>-20.799999999999994</v>
      </c>
      <c r="D30" s="20">
        <f>-22.5+2.8</f>
        <v>-19.7</v>
      </c>
      <c r="E30" s="20">
        <f>-22.5+2.6</f>
        <v>-19.899999999999999</v>
      </c>
      <c r="F30" s="20">
        <f>-24.3+2.6</f>
        <v>-21.7</v>
      </c>
      <c r="G30" s="20">
        <f>-87.9-H30-I30-J30</f>
        <v>-15.70000000000001</v>
      </c>
      <c r="H30" s="20">
        <f>-25.4+2.6</f>
        <v>-22.799999999999997</v>
      </c>
      <c r="I30" s="20">
        <f>-26.3+2.5</f>
        <v>-23.8</v>
      </c>
      <c r="J30" s="20">
        <v>-25.6</v>
      </c>
      <c r="K30" s="20">
        <f>-91.3-L30-M30-N30</f>
        <v>-20.999999999999996</v>
      </c>
      <c r="L30" s="20">
        <f>-25.9+2.4</f>
        <v>-23.5</v>
      </c>
      <c r="M30" s="20">
        <f>-25.2+2.7</f>
        <v>-22.5</v>
      </c>
      <c r="N30" s="20">
        <v>-24.3</v>
      </c>
      <c r="O30" s="20">
        <f>-85.3-R30-Q30-P30</f>
        <v>-13.700000000000003</v>
      </c>
      <c r="P30" s="20">
        <v>-24</v>
      </c>
      <c r="Q30" s="20">
        <v>-23.2</v>
      </c>
      <c r="R30" s="20">
        <v>-24.4</v>
      </c>
      <c r="S30" s="20">
        <f>-66.8-V30-U30-T30</f>
        <v>-13.499999999999996</v>
      </c>
      <c r="T30" s="20">
        <v>-19.2</v>
      </c>
      <c r="U30" s="20">
        <v>-17.100000000000001</v>
      </c>
      <c r="V30" s="20">
        <v>-17</v>
      </c>
    </row>
    <row r="31" spans="1:22" s="33" customFormat="1">
      <c r="A31" s="20" t="s">
        <v>64</v>
      </c>
      <c r="B31" s="20">
        <v>0</v>
      </c>
      <c r="C31" s="20">
        <f>0-D31-E31-F31</f>
        <v>0</v>
      </c>
      <c r="D31" s="20">
        <v>0.1</v>
      </c>
      <c r="E31" s="20">
        <v>-0.1</v>
      </c>
      <c r="F31" s="20">
        <v>0</v>
      </c>
      <c r="G31" s="20">
        <f>-0.2-H31-I31-J31</f>
        <v>-0.1</v>
      </c>
      <c r="H31" s="20">
        <v>0</v>
      </c>
      <c r="I31" s="20">
        <v>-0.1</v>
      </c>
      <c r="J31" s="20">
        <v>0</v>
      </c>
      <c r="K31" s="20">
        <f>-0.1-L31-M31-N31</f>
        <v>0</v>
      </c>
      <c r="L31" s="20">
        <v>0</v>
      </c>
      <c r="M31" s="20">
        <v>0</v>
      </c>
      <c r="N31" s="20">
        <v>-0.1</v>
      </c>
      <c r="O31" s="20">
        <f>-0.1-P31-Q31-R31</f>
        <v>0.1</v>
      </c>
      <c r="P31" s="20">
        <v>0.1</v>
      </c>
      <c r="Q31" s="20">
        <v>-0.2</v>
      </c>
      <c r="R31" s="20">
        <v>-0.1</v>
      </c>
      <c r="S31" s="20">
        <f>-0.8-V31-U31-T31</f>
        <v>-0.70000000000000007</v>
      </c>
      <c r="T31" s="20">
        <v>0</v>
      </c>
      <c r="U31" s="20">
        <v>-0.1</v>
      </c>
      <c r="V31" s="20">
        <v>0</v>
      </c>
    </row>
    <row r="32" spans="1:22" s="33" customFormat="1">
      <c r="A32" s="20" t="s">
        <v>65</v>
      </c>
      <c r="B32" s="20">
        <f>-47.1-2.2-6.4-29.4+1.3+22.7-8.6-0.8</f>
        <v>-70.499999999999986</v>
      </c>
      <c r="C32" s="20">
        <f>37.8+5.6+7.2+51.6+0.9-35.1+1.4+3-D32-E32-F32</f>
        <v>15.700000000000031</v>
      </c>
      <c r="D32" s="20">
        <f>-13.3+0.1+1.4-3.8-1.8-3.9-12.9-0.4</f>
        <v>-34.6</v>
      </c>
      <c r="E32" s="20">
        <f>-41.6-3.6+5-8.9-4.2+37+7.6+6.5</f>
        <v>-2.2000000000000046</v>
      </c>
      <c r="F32" s="20">
        <f>97.2+8.8+1.3+141.1-55.6-73-17.9-8.4</f>
        <v>93.499999999999972</v>
      </c>
      <c r="G32" s="20">
        <v>-41.599999999999994</v>
      </c>
      <c r="H32" s="20">
        <f>30.8+15.7-5-5.1+1.5-1.9-13.2-1.5</f>
        <v>21.3</v>
      </c>
      <c r="I32" s="20">
        <f>-23.3-4.7+0.3+61.3-7.3+17.1+8.1+0.7</f>
        <v>52.199999999999996</v>
      </c>
      <c r="J32" s="20">
        <f>+-35.4-11.1+2.5-41.4-3.6+24.1-16.5+10.2</f>
        <v>-71.2</v>
      </c>
      <c r="K32" s="20">
        <f>217.8+11.8+0.3+122.1-5.8-157.9-14.7-22.6-L32-M32-N32</f>
        <v>107.6</v>
      </c>
      <c r="L32" s="20">
        <f>14-8.7-5.3-81.8+24.9+32.1-13.9+0.2</f>
        <v>-38.499999999999993</v>
      </c>
      <c r="M32" s="20">
        <f>12.5-4.1+4.9+87.7-29.1-53.3-3.2-1.2</f>
        <v>14.20000000000001</v>
      </c>
      <c r="N32" s="20">
        <f>99.5+11.1+4+35.7+5.2-67.2-20.1-0.5</f>
        <v>67.699999999999989</v>
      </c>
      <c r="O32" s="20">
        <f>-73.1-9.8+15.6+44.6-8.2+54+4.4+19.8-P32-Q32-R32</f>
        <v>36.400000000000006</v>
      </c>
      <c r="P32" s="20">
        <f>-14.1-13.5-15.9+14.5+6.2+32.4-25.8</f>
        <v>-16.200000000000003</v>
      </c>
      <c r="Q32" s="20">
        <f>46.2-0.8+9.3+39.2+9-21.4-0.6</f>
        <v>80.900000000000006</v>
      </c>
      <c r="R32" s="20">
        <f>-68.5+10.6+11+9.7-16.8-5.3+5.5</f>
        <v>-53.8</v>
      </c>
      <c r="S32" s="20">
        <f>-106.7-12.7+8-20.5+43.4+66-2-V32-U32-T32</f>
        <v>-30.900000000000034</v>
      </c>
      <c r="T32" s="20">
        <f>15.2+1.1+16.9+80.3-8.2-17.8-20.2</f>
        <v>67.3</v>
      </c>
      <c r="U32" s="20">
        <f>-100.6-3.6-11.6-116.3+29.5+82.2-29.9</f>
        <v>-150.29999999999995</v>
      </c>
      <c r="V32" s="20">
        <f>2.7+0.7+6.4+45.2+19.3+5.1+10</f>
        <v>89.399999999999991</v>
      </c>
    </row>
    <row r="33" spans="1:22"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row>
    <row r="34" spans="1:22"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row>
    <row r="35" spans="1:22" s="27" customFormat="1">
      <c r="A35" s="27" t="s">
        <v>67</v>
      </c>
      <c r="B35" s="27">
        <v>-75.5</v>
      </c>
      <c r="C35" s="27">
        <f>78.6-D35-E35-F35</f>
        <v>3.2999999999999972</v>
      </c>
      <c r="D35" s="27">
        <v>-21</v>
      </c>
      <c r="E35" s="27">
        <v>-0.2</v>
      </c>
      <c r="F35" s="27">
        <v>96.5</v>
      </c>
      <c r="G35" s="27">
        <v>-46.7</v>
      </c>
      <c r="H35" s="27">
        <v>32</v>
      </c>
      <c r="I35" s="27">
        <v>59.5</v>
      </c>
      <c r="J35" s="27">
        <v>-83.8</v>
      </c>
      <c r="K35" s="27">
        <f>177.7-L35-M35-N35</f>
        <v>119.39999999999998</v>
      </c>
      <c r="L35" s="27">
        <v>-35.4</v>
      </c>
      <c r="M35" s="27">
        <v>27.3</v>
      </c>
      <c r="N35" s="27">
        <v>66.400000000000006</v>
      </c>
      <c r="O35" s="27">
        <f>57.9-R35-Q35-P35</f>
        <v>36.79999999999999</v>
      </c>
      <c r="P35" s="27">
        <v>-18.600000000000001</v>
      </c>
      <c r="Q35" s="27">
        <v>73</v>
      </c>
      <c r="R35" s="27">
        <v>-33.299999999999997</v>
      </c>
      <c r="S35" s="27">
        <v>-24.8</v>
      </c>
      <c r="T35" s="27">
        <v>58</v>
      </c>
      <c r="U35" s="27">
        <v>-101.8</v>
      </c>
      <c r="V35" s="27">
        <v>87.3</v>
      </c>
    </row>
    <row r="36" spans="1:22" s="33" customFormat="1">
      <c r="A36" s="20" t="s">
        <v>68</v>
      </c>
      <c r="B36" s="29">
        <v>-1.8</v>
      </c>
      <c r="C36" s="29">
        <f>-16.2-D36-E36-F36</f>
        <v>-3.3999999999999986</v>
      </c>
      <c r="D36" s="29">
        <v>-3.3</v>
      </c>
      <c r="E36" s="29">
        <v>-5.4</v>
      </c>
      <c r="F36" s="29">
        <v>-4.0999999999999996</v>
      </c>
      <c r="G36" s="29">
        <v>-9.8999999999999986</v>
      </c>
      <c r="H36" s="29">
        <v>-9.3000000000000007</v>
      </c>
      <c r="I36" s="29">
        <v>-5.8</v>
      </c>
      <c r="J36" s="29">
        <f>+-4</f>
        <v>-4</v>
      </c>
      <c r="K36" s="29">
        <f>-19.5-L36-M36-N36</f>
        <v>-7.7</v>
      </c>
      <c r="L36" s="29">
        <v>-5.8</v>
      </c>
      <c r="M36" s="29">
        <v>-3.7</v>
      </c>
      <c r="N36" s="29">
        <v>-2.2999999999999998</v>
      </c>
      <c r="O36" s="29">
        <f>-21.6-R36-Q36-P36</f>
        <v>-6.0000000000000027</v>
      </c>
      <c r="P36" s="29">
        <v>-7.3</v>
      </c>
      <c r="Q36" s="29">
        <v>-4.4000000000000004</v>
      </c>
      <c r="R36" s="29">
        <v>-3.9</v>
      </c>
      <c r="S36" s="29">
        <v>-5.5</v>
      </c>
      <c r="T36" s="29">
        <v>-2</v>
      </c>
      <c r="U36" s="29">
        <v>-4.8</v>
      </c>
      <c r="V36" s="29">
        <v>2.8</v>
      </c>
    </row>
    <row r="37" spans="1:22" s="27" customFormat="1">
      <c r="A37" s="27" t="s">
        <v>69</v>
      </c>
      <c r="B37" s="27">
        <f t="shared" ref="B37:V37" si="15">+B35+B36</f>
        <v>-77.3</v>
      </c>
      <c r="C37" s="27">
        <f t="shared" si="15"/>
        <v>-0.10000000000000142</v>
      </c>
      <c r="D37" s="27">
        <f t="shared" si="15"/>
        <v>-24.3</v>
      </c>
      <c r="E37" s="27">
        <f t="shared" si="15"/>
        <v>-5.6000000000000005</v>
      </c>
      <c r="F37" s="27">
        <f t="shared" si="15"/>
        <v>92.4</v>
      </c>
      <c r="G37" s="27">
        <f t="shared" si="15"/>
        <v>-56.6</v>
      </c>
      <c r="H37" s="27">
        <f t="shared" si="15"/>
        <v>22.7</v>
      </c>
      <c r="I37" s="27">
        <f t="shared" si="15"/>
        <v>53.7</v>
      </c>
      <c r="J37" s="27">
        <f t="shared" si="15"/>
        <v>-87.8</v>
      </c>
      <c r="K37" s="27">
        <f t="shared" si="15"/>
        <v>111.69999999999997</v>
      </c>
      <c r="L37" s="27">
        <f t="shared" si="15"/>
        <v>-41.199999999999996</v>
      </c>
      <c r="M37" s="27">
        <f t="shared" si="15"/>
        <v>23.6</v>
      </c>
      <c r="N37" s="27">
        <f t="shared" si="15"/>
        <v>64.100000000000009</v>
      </c>
      <c r="O37" s="27">
        <f t="shared" si="15"/>
        <v>30.799999999999986</v>
      </c>
      <c r="P37" s="27">
        <f t="shared" si="15"/>
        <v>-25.900000000000002</v>
      </c>
      <c r="Q37" s="27">
        <f t="shared" si="15"/>
        <v>68.599999999999994</v>
      </c>
      <c r="R37" s="27">
        <f t="shared" si="15"/>
        <v>-37.199999999999996</v>
      </c>
      <c r="S37" s="27">
        <f t="shared" si="15"/>
        <v>-30.3</v>
      </c>
      <c r="T37" s="27">
        <f t="shared" si="15"/>
        <v>56</v>
      </c>
      <c r="U37" s="27">
        <f t="shared" si="15"/>
        <v>-106.6</v>
      </c>
      <c r="V37" s="27">
        <f t="shared" si="15"/>
        <v>90.1</v>
      </c>
    </row>
    <row r="38" spans="1:22">
      <c r="B38" s="33"/>
      <c r="C38" s="33"/>
      <c r="D38" s="33"/>
      <c r="E38" s="33"/>
      <c r="F38" s="33"/>
      <c r="G38" s="33"/>
      <c r="H38" s="33"/>
      <c r="I38" s="33"/>
    </row>
    <row r="39" spans="1:22" s="35" customFormat="1">
      <c r="A39" s="34" t="s">
        <v>70</v>
      </c>
      <c r="B39" s="20">
        <f>C39+473-392.5</f>
        <v>277.20000000000005</v>
      </c>
      <c r="C39" s="20">
        <v>196.7</v>
      </c>
      <c r="D39" s="20">
        <f>E39+369.5-342.1</f>
        <v>190.70000000000005</v>
      </c>
      <c r="E39" s="20">
        <f>F39+270.3-265.7</f>
        <v>163.30000000000007</v>
      </c>
      <c r="F39" s="20">
        <f>G39+414.9-501.5</f>
        <v>158.70000000000005</v>
      </c>
      <c r="G39" s="20">
        <v>245.3</v>
      </c>
      <c r="H39" s="20">
        <f>I39+474.9-497.8</f>
        <v>187.09999999999997</v>
      </c>
      <c r="I39" s="20">
        <v>210</v>
      </c>
      <c r="J39" s="20">
        <v>256.2</v>
      </c>
      <c r="K39" s="20">
        <v>180.8</v>
      </c>
      <c r="L39" s="20">
        <v>283.5</v>
      </c>
      <c r="M39" s="20">
        <v>232.7</v>
      </c>
      <c r="N39" s="20">
        <v>231.5</v>
      </c>
      <c r="O39" s="20">
        <v>301.39999999999998</v>
      </c>
      <c r="P39" s="20">
        <v>315</v>
      </c>
      <c r="Q39" s="20">
        <v>285</v>
      </c>
      <c r="R39" s="20">
        <v>334.1</v>
      </c>
      <c r="S39" s="20">
        <v>296.89999999999998</v>
      </c>
      <c r="T39" s="20">
        <v>264</v>
      </c>
      <c r="U39" s="20">
        <v>350</v>
      </c>
      <c r="V39" s="20"/>
    </row>
    <row r="40" spans="1:22" s="35" customFormat="1">
      <c r="A40" s="34" t="s">
        <v>71</v>
      </c>
      <c r="B40" s="20">
        <f>C40-2.7</f>
        <v>1053.808</v>
      </c>
      <c r="C40" s="20">
        <v>1056.508</v>
      </c>
      <c r="D40" s="20">
        <f>E40-2.7</f>
        <v>1059.1999999999998</v>
      </c>
      <c r="E40" s="20">
        <f>F40-2.7</f>
        <v>1061.8999999999999</v>
      </c>
      <c r="F40" s="20">
        <f>G40-2.7</f>
        <v>1064.5999999999999</v>
      </c>
      <c r="G40" s="20">
        <v>1067.3</v>
      </c>
      <c r="H40" s="20">
        <f>I40-2.7</f>
        <v>1069.8999999999999</v>
      </c>
      <c r="I40" s="20">
        <f>J40-2.7</f>
        <v>1072.5999999999999</v>
      </c>
      <c r="J40" s="20">
        <f>K40-2.7</f>
        <v>1075.3</v>
      </c>
      <c r="K40" s="20">
        <v>1078</v>
      </c>
      <c r="L40" s="20">
        <v>1078</v>
      </c>
      <c r="M40" s="20">
        <v>1078</v>
      </c>
      <c r="N40" s="20">
        <v>1078</v>
      </c>
      <c r="O40" s="20">
        <f>O41-O39</f>
        <v>1118.835</v>
      </c>
      <c r="P40" s="20">
        <f>P41-P39</f>
        <v>1079.0999999999999</v>
      </c>
      <c r="Q40" s="20">
        <v>1079.0999999999999</v>
      </c>
      <c r="R40" s="20">
        <v>1097.5</v>
      </c>
      <c r="S40" s="20">
        <v>1147.125</v>
      </c>
      <c r="T40" s="20">
        <v>1150</v>
      </c>
      <c r="U40" s="20">
        <v>1150</v>
      </c>
      <c r="V40" s="20"/>
    </row>
    <row r="41" spans="1:22" s="35" customFormat="1">
      <c r="A41" s="34" t="s">
        <v>72</v>
      </c>
      <c r="B41" s="20">
        <f t="shared" ref="B41:N41" si="16">B39+B40</f>
        <v>1331.008</v>
      </c>
      <c r="C41" s="20">
        <f t="shared" si="16"/>
        <v>1253.2080000000001</v>
      </c>
      <c r="D41" s="20">
        <f t="shared" si="16"/>
        <v>1249.8999999999999</v>
      </c>
      <c r="E41" s="20">
        <f t="shared" si="16"/>
        <v>1225.1999999999998</v>
      </c>
      <c r="F41" s="20">
        <f t="shared" si="16"/>
        <v>1223.3</v>
      </c>
      <c r="G41" s="20">
        <f t="shared" si="16"/>
        <v>1312.6</v>
      </c>
      <c r="H41" s="20">
        <f t="shared" si="16"/>
        <v>1256.9999999999998</v>
      </c>
      <c r="I41" s="20">
        <f t="shared" si="16"/>
        <v>1282.5999999999999</v>
      </c>
      <c r="J41" s="20">
        <f t="shared" si="16"/>
        <v>1331.5</v>
      </c>
      <c r="K41" s="20">
        <f t="shared" si="16"/>
        <v>1258.8</v>
      </c>
      <c r="L41" s="20">
        <f t="shared" si="16"/>
        <v>1361.5</v>
      </c>
      <c r="M41" s="20">
        <f t="shared" si="16"/>
        <v>1310.7</v>
      </c>
      <c r="N41" s="20">
        <f t="shared" si="16"/>
        <v>1309.5</v>
      </c>
      <c r="O41" s="20">
        <v>1420.2349999999999</v>
      </c>
      <c r="P41" s="20">
        <v>1394.1</v>
      </c>
      <c r="Q41" s="20">
        <v>1364.1</v>
      </c>
      <c r="R41" s="20">
        <v>1431.6</v>
      </c>
      <c r="S41" s="20">
        <v>1444.0250000000001</v>
      </c>
      <c r="T41" s="20">
        <v>1414</v>
      </c>
      <c r="U41" s="20">
        <v>1500</v>
      </c>
      <c r="V41" s="20"/>
    </row>
    <row r="42" spans="1:22" s="35" customFormat="1">
      <c r="A42" s="34" t="s">
        <v>73</v>
      </c>
      <c r="B42" s="36">
        <v>866.90000000000009</v>
      </c>
      <c r="C42" s="36">
        <v>866.90000000000009</v>
      </c>
      <c r="D42" s="36">
        <v>866.90000000000009</v>
      </c>
      <c r="E42" s="36">
        <v>866.90000000000009</v>
      </c>
      <c r="F42" s="36">
        <v>866.90000000000009</v>
      </c>
      <c r="G42" s="36">
        <v>866.90000000000009</v>
      </c>
      <c r="H42" s="36">
        <v>866.90000000000009</v>
      </c>
      <c r="I42" s="36">
        <v>866.90000000000009</v>
      </c>
      <c r="J42" s="36">
        <v>866.90000000000009</v>
      </c>
      <c r="K42" s="36">
        <v>866.90000000000009</v>
      </c>
      <c r="L42" s="36">
        <v>866.90000000000009</v>
      </c>
      <c r="M42" s="36">
        <v>866.90000000000009</v>
      </c>
      <c r="N42" s="36">
        <v>866.90000000000009</v>
      </c>
      <c r="O42" s="36">
        <v>866.90000000000009</v>
      </c>
      <c r="P42" s="36">
        <v>866.90000000000009</v>
      </c>
      <c r="Q42" s="36">
        <v>866.90000000000009</v>
      </c>
      <c r="R42" s="36">
        <v>866.90000000000009</v>
      </c>
      <c r="S42" s="36">
        <v>866.90000000000009</v>
      </c>
      <c r="T42" s="36">
        <v>866.90000000000009</v>
      </c>
      <c r="U42" s="36">
        <v>866.90000000000009</v>
      </c>
      <c r="V42" s="36"/>
    </row>
    <row r="43" spans="1:22">
      <c r="B43" s="33"/>
      <c r="C43" s="33"/>
      <c r="D43" s="33"/>
      <c r="E43" s="33"/>
      <c r="F43" s="35"/>
      <c r="G43" s="35"/>
      <c r="H43" s="35"/>
      <c r="I43" s="35"/>
      <c r="J43" s="35"/>
      <c r="K43" s="35"/>
      <c r="L43" s="35"/>
      <c r="M43" s="35"/>
      <c r="N43" s="35"/>
      <c r="O43" s="35"/>
      <c r="P43" s="35"/>
      <c r="Q43" s="35"/>
      <c r="R43" s="35"/>
      <c r="S43" s="35"/>
    </row>
    <row r="44" spans="1:22">
      <c r="A44" s="19" t="s">
        <v>74</v>
      </c>
      <c r="B44" s="28">
        <v>1.3</v>
      </c>
      <c r="C44" s="28">
        <v>0.96599999999999997</v>
      </c>
      <c r="D44" s="28">
        <v>2.1</v>
      </c>
      <c r="E44" s="28">
        <v>1.7</v>
      </c>
      <c r="F44" s="28">
        <v>2.5</v>
      </c>
      <c r="G44" s="28">
        <v>2.1</v>
      </c>
      <c r="H44" s="28">
        <v>3.2</v>
      </c>
      <c r="I44" s="28">
        <v>6.1</v>
      </c>
      <c r="J44" s="28">
        <v>1.3</v>
      </c>
      <c r="K44" s="28">
        <v>16.399999999999999</v>
      </c>
      <c r="L44" s="28">
        <v>9.3000000000000007</v>
      </c>
      <c r="M44" s="28">
        <v>2.4</v>
      </c>
      <c r="N44" s="28">
        <v>10.199999999999999</v>
      </c>
      <c r="O44" s="28">
        <v>18.8</v>
      </c>
      <c r="P44" s="28">
        <v>7.5</v>
      </c>
      <c r="Q44" s="28">
        <v>4.5999999999999996</v>
      </c>
      <c r="R44" s="28">
        <v>0.4</v>
      </c>
      <c r="S44" s="28">
        <v>3.4</v>
      </c>
      <c r="T44" s="28">
        <v>11</v>
      </c>
      <c r="U44" s="28">
        <v>0</v>
      </c>
      <c r="V44" s="28"/>
    </row>
    <row r="46" spans="1:22">
      <c r="A46" s="14" t="s">
        <v>75</v>
      </c>
      <c r="B46" s="33">
        <f t="shared" ref="B46:S46" si="17">SUM(B12:E12)</f>
        <v>3804.1000000000004</v>
      </c>
      <c r="C46" s="33">
        <f t="shared" si="17"/>
        <v>3869.3</v>
      </c>
      <c r="D46" s="33">
        <f t="shared" si="17"/>
        <v>4825.1000000000004</v>
      </c>
      <c r="E46" s="33">
        <f t="shared" si="17"/>
        <v>5685.3</v>
      </c>
      <c r="F46" s="33">
        <f t="shared" si="17"/>
        <v>6907.7999999999993</v>
      </c>
      <c r="G46" s="33">
        <f t="shared" si="17"/>
        <v>7288.5999999999995</v>
      </c>
      <c r="H46" s="33">
        <f t="shared" si="17"/>
        <v>7466.7000000000007</v>
      </c>
      <c r="I46" s="33">
        <f t="shared" si="17"/>
        <v>7954.6000000000013</v>
      </c>
      <c r="J46" s="33">
        <f t="shared" si="17"/>
        <v>8502.3000000000011</v>
      </c>
      <c r="K46" s="33">
        <f t="shared" si="17"/>
        <v>9269.6</v>
      </c>
      <c r="L46" s="33">
        <f t="shared" si="17"/>
        <v>10483.099999999999</v>
      </c>
      <c r="M46" s="33">
        <f t="shared" si="17"/>
        <v>11363.699999999999</v>
      </c>
      <c r="N46" s="33">
        <f t="shared" si="17"/>
        <v>12022.599999999999</v>
      </c>
      <c r="O46" s="33">
        <f t="shared" si="17"/>
        <v>12374.8</v>
      </c>
      <c r="P46" s="33">
        <f t="shared" si="17"/>
        <v>11776.1</v>
      </c>
      <c r="Q46" s="33">
        <f t="shared" si="17"/>
        <v>11034.8</v>
      </c>
      <c r="R46" s="33">
        <f t="shared" si="17"/>
        <v>10312.799999999999</v>
      </c>
      <c r="S46" s="33">
        <f t="shared" si="17"/>
        <v>8979.7000000000007</v>
      </c>
      <c r="T46" s="33"/>
      <c r="U46" s="33"/>
    </row>
    <row r="47" spans="1:22">
      <c r="A47" s="14" t="s">
        <v>76</v>
      </c>
      <c r="B47" s="33">
        <f t="shared" ref="B47" si="18">+B27</f>
        <v>102.80000000000001</v>
      </c>
      <c r="C47" s="33">
        <f t="shared" ref="C47:D47" si="19">+C27</f>
        <v>101.4</v>
      </c>
      <c r="D47" s="33">
        <f t="shared" si="19"/>
        <v>123.5</v>
      </c>
      <c r="E47" s="33">
        <f t="shared" ref="E47:F47" si="20">+E27</f>
        <v>123.8</v>
      </c>
      <c r="F47" s="33">
        <f t="shared" si="20"/>
        <v>111.7</v>
      </c>
      <c r="G47" s="33">
        <f t="shared" ref="G47" si="21">+G27</f>
        <v>119.4</v>
      </c>
      <c r="H47" s="33">
        <f t="shared" ref="H47:I47" si="22">+H27</f>
        <v>114.6</v>
      </c>
      <c r="I47" s="33">
        <f t="shared" si="22"/>
        <v>117.2</v>
      </c>
      <c r="J47" s="33">
        <f t="shared" ref="J47:K47" si="23">+J27</f>
        <v>134.1</v>
      </c>
      <c r="K47" s="33">
        <f t="shared" si="23"/>
        <v>125.65</v>
      </c>
      <c r="L47" s="33">
        <f t="shared" ref="L47:S47" si="24">+L27</f>
        <v>127.5</v>
      </c>
      <c r="M47" s="33">
        <f t="shared" si="24"/>
        <v>121.6</v>
      </c>
      <c r="N47" s="33">
        <f t="shared" si="24"/>
        <v>118.5</v>
      </c>
      <c r="O47" s="33">
        <f t="shared" si="24"/>
        <v>140.392</v>
      </c>
      <c r="P47" s="33">
        <f t="shared" si="24"/>
        <v>143.70000000000002</v>
      </c>
      <c r="Q47" s="33">
        <f t="shared" si="24"/>
        <v>134.90000000000003</v>
      </c>
      <c r="R47" s="33">
        <f t="shared" si="24"/>
        <v>141.80000000000021</v>
      </c>
      <c r="S47" s="33">
        <f t="shared" si="24"/>
        <v>168.20000000000022</v>
      </c>
      <c r="T47" s="33"/>
      <c r="U47" s="33"/>
    </row>
    <row r="48" spans="1:22">
      <c r="A48" s="14" t="s">
        <v>77</v>
      </c>
      <c r="B48" s="33">
        <f t="shared" ref="B48:S48" si="25">+SUM(B37:E37)</f>
        <v>-107.3</v>
      </c>
      <c r="C48" s="33">
        <f t="shared" si="25"/>
        <v>62.400000000000006</v>
      </c>
      <c r="D48" s="33">
        <f t="shared" si="25"/>
        <v>5.8999999999999986</v>
      </c>
      <c r="E48" s="33">
        <f t="shared" si="25"/>
        <v>52.900000000000006</v>
      </c>
      <c r="F48" s="33">
        <f t="shared" si="25"/>
        <v>112.2</v>
      </c>
      <c r="G48" s="33">
        <f t="shared" si="25"/>
        <v>-68</v>
      </c>
      <c r="H48" s="33">
        <f t="shared" si="25"/>
        <v>100.29999999999998</v>
      </c>
      <c r="I48" s="33">
        <f t="shared" si="25"/>
        <v>36.399999999999984</v>
      </c>
      <c r="J48" s="33">
        <f t="shared" si="25"/>
        <v>6.2999999999999829</v>
      </c>
      <c r="K48" s="33">
        <f t="shared" si="25"/>
        <v>158.19999999999999</v>
      </c>
      <c r="L48" s="33">
        <f t="shared" si="25"/>
        <v>77.3</v>
      </c>
      <c r="M48" s="33">
        <f t="shared" si="25"/>
        <v>92.6</v>
      </c>
      <c r="N48" s="33">
        <f t="shared" si="25"/>
        <v>137.59999999999997</v>
      </c>
      <c r="O48" s="33">
        <f t="shared" si="25"/>
        <v>36.299999999999976</v>
      </c>
      <c r="P48" s="33">
        <f t="shared" si="25"/>
        <v>-24.800000000000008</v>
      </c>
      <c r="Q48" s="33">
        <f t="shared" si="25"/>
        <v>57.099999999999994</v>
      </c>
      <c r="R48" s="33">
        <f t="shared" si="25"/>
        <v>-118.1</v>
      </c>
      <c r="S48" s="33">
        <f t="shared" si="25"/>
        <v>9.2000000000000028</v>
      </c>
      <c r="T48" s="33"/>
      <c r="U48" s="33"/>
    </row>
    <row r="50" spans="1:22" s="37" customFormat="1">
      <c r="A50" s="37" t="s">
        <v>78</v>
      </c>
      <c r="B50" s="37">
        <f t="shared" ref="B50" si="26">+SUM(B39:B40)/B47</f>
        <v>12.947548638132295</v>
      </c>
      <c r="C50" s="37">
        <f t="shared" ref="C50:D50" si="27">+SUM(C39:C40)/C47</f>
        <v>12.359053254437869</v>
      </c>
      <c r="D50" s="37">
        <f t="shared" si="27"/>
        <v>10.120647773279352</v>
      </c>
      <c r="E50" s="37">
        <f t="shared" ref="E50:F50" si="28">+SUM(E39:E40)/E47</f>
        <v>9.8966074313408718</v>
      </c>
      <c r="F50" s="37">
        <f t="shared" si="28"/>
        <v>10.951656222023276</v>
      </c>
      <c r="G50" s="37">
        <f t="shared" ref="G50" si="29">+SUM(G39:G40)/G47</f>
        <v>10.993299832495811</v>
      </c>
      <c r="H50" s="37">
        <f t="shared" ref="H50:I50" si="30">+SUM(H39:H40)/H47</f>
        <v>10.968586387434554</v>
      </c>
      <c r="I50" s="37">
        <f t="shared" si="30"/>
        <v>10.943686006825937</v>
      </c>
      <c r="J50" s="37">
        <f t="shared" ref="J50:K50" si="31">+SUM(J39:J40)/J47</f>
        <v>9.9291573452647288</v>
      </c>
      <c r="K50" s="37">
        <f t="shared" si="31"/>
        <v>10.018304814962196</v>
      </c>
      <c r="L50" s="37">
        <f t="shared" ref="L50:M50" si="32">+SUM(L39:L40)/L47</f>
        <v>10.678431372549019</v>
      </c>
      <c r="M50" s="37">
        <f t="shared" si="32"/>
        <v>10.778782894736842</v>
      </c>
      <c r="N50" s="37">
        <f t="shared" ref="N50:S50" si="33">+SUM(N39:N40)/N47</f>
        <v>11.050632911392405</v>
      </c>
      <c r="O50" s="37">
        <f t="shared" si="33"/>
        <v>10.116210325374666</v>
      </c>
      <c r="P50" s="37">
        <f t="shared" si="33"/>
        <v>9.7014613778705616</v>
      </c>
      <c r="Q50" s="37">
        <f t="shared" si="33"/>
        <v>10.111934766493695</v>
      </c>
      <c r="R50" s="37">
        <f t="shared" si="33"/>
        <v>10.09590973201691</v>
      </c>
      <c r="S50" s="37">
        <f t="shared" si="33"/>
        <v>8.5851664684898825</v>
      </c>
    </row>
    <row r="51" spans="1:22" s="37" customFormat="1">
      <c r="A51" s="37" t="s">
        <v>79</v>
      </c>
      <c r="B51" s="37">
        <f t="shared" ref="B51" si="34">+B41/B47</f>
        <v>12.947548638132295</v>
      </c>
      <c r="C51" s="37">
        <f t="shared" ref="C51:D51" si="35">+C41/C47</f>
        <v>12.359053254437869</v>
      </c>
      <c r="D51" s="37">
        <f t="shared" si="35"/>
        <v>10.120647773279352</v>
      </c>
      <c r="E51" s="37">
        <f t="shared" ref="E51:F51" si="36">+E41/E47</f>
        <v>9.8966074313408718</v>
      </c>
      <c r="F51" s="37">
        <f t="shared" si="36"/>
        <v>10.951656222023276</v>
      </c>
      <c r="G51" s="37">
        <f t="shared" ref="G51" si="37">+G41/G47</f>
        <v>10.993299832495811</v>
      </c>
      <c r="H51" s="37">
        <f t="shared" ref="H51:I51" si="38">+H41/H47</f>
        <v>10.968586387434554</v>
      </c>
      <c r="I51" s="37">
        <f t="shared" si="38"/>
        <v>10.943686006825937</v>
      </c>
      <c r="J51" s="37">
        <f t="shared" ref="J51:K51" si="39">+J41/J47</f>
        <v>9.9291573452647288</v>
      </c>
      <c r="K51" s="37">
        <f t="shared" si="39"/>
        <v>10.018304814962196</v>
      </c>
      <c r="L51" s="37">
        <f t="shared" ref="L51:S51" si="40">+L41/L47</f>
        <v>10.678431372549019</v>
      </c>
      <c r="M51" s="37">
        <f t="shared" si="40"/>
        <v>10.778782894736842</v>
      </c>
      <c r="N51" s="37">
        <f t="shared" si="40"/>
        <v>11.050632911392405</v>
      </c>
      <c r="O51" s="37">
        <f t="shared" si="40"/>
        <v>10.116210325374665</v>
      </c>
      <c r="P51" s="37">
        <f t="shared" si="40"/>
        <v>9.7014613778705616</v>
      </c>
      <c r="Q51" s="37">
        <f t="shared" si="40"/>
        <v>10.111934766493695</v>
      </c>
      <c r="R51" s="37">
        <f t="shared" si="40"/>
        <v>10.09590973201691</v>
      </c>
      <c r="S51" s="37">
        <f t="shared" si="40"/>
        <v>8.5851664684898825</v>
      </c>
    </row>
    <row r="52" spans="1:22" s="37" customFormat="1">
      <c r="A52" s="37" t="s">
        <v>80</v>
      </c>
      <c r="B52" s="37">
        <f t="shared" ref="B52" si="41">+(B41-B44)/B47</f>
        <v>12.934902723735409</v>
      </c>
      <c r="C52" s="37">
        <f t="shared" ref="C52:D52" si="42">+(C41-C44)/C47</f>
        <v>12.349526627218935</v>
      </c>
      <c r="D52" s="37">
        <f t="shared" si="42"/>
        <v>10.103643724696356</v>
      </c>
      <c r="E52" s="37">
        <f t="shared" ref="E52:F52" si="43">+(E41-E44)/E47</f>
        <v>9.8828756058158298</v>
      </c>
      <c r="F52" s="37">
        <f t="shared" si="43"/>
        <v>10.929274843330349</v>
      </c>
      <c r="G52" s="37">
        <f t="shared" ref="G52" si="44">+(G41-G44)/G47</f>
        <v>10.975711892797319</v>
      </c>
      <c r="H52" s="37">
        <f t="shared" ref="H52:I52" si="45">+(H41-H44)/H47</f>
        <v>10.940663176265268</v>
      </c>
      <c r="I52" s="37">
        <f t="shared" si="45"/>
        <v>10.891638225255972</v>
      </c>
      <c r="J52" s="37">
        <f t="shared" ref="J52:K52" si="46">+(J41-J44)/J47</f>
        <v>9.9194630872483227</v>
      </c>
      <c r="K52" s="37">
        <f t="shared" si="46"/>
        <v>9.8877835256665332</v>
      </c>
      <c r="L52" s="37">
        <f t="shared" ref="L52:S52" si="47">+(L41-L44)/L47</f>
        <v>10.605490196078431</v>
      </c>
      <c r="M52" s="37">
        <f t="shared" si="47"/>
        <v>10.759046052631579</v>
      </c>
      <c r="N52" s="37">
        <f t="shared" si="47"/>
        <v>10.964556962025316</v>
      </c>
      <c r="O52" s="37">
        <f t="shared" si="47"/>
        <v>9.9822995612285599</v>
      </c>
      <c r="P52" s="37">
        <f t="shared" si="47"/>
        <v>9.6492693110647156</v>
      </c>
      <c r="Q52" s="37">
        <f t="shared" si="47"/>
        <v>10.077835433654556</v>
      </c>
      <c r="R52" s="37">
        <f t="shared" si="47"/>
        <v>10.093088857545823</v>
      </c>
      <c r="S52" s="37">
        <f t="shared" si="47"/>
        <v>8.5649524375743056</v>
      </c>
    </row>
    <row r="53" spans="1:22" s="38" customFormat="1">
      <c r="A53" s="38" t="s">
        <v>81</v>
      </c>
      <c r="B53" s="38">
        <f t="shared" ref="B53" si="48">+B48/B41</f>
        <v>-8.0615593595230073E-2</v>
      </c>
      <c r="C53" s="38">
        <f t="shared" ref="C53:D53" si="49">+C48/C41</f>
        <v>4.979221326387958E-2</v>
      </c>
      <c r="D53" s="38">
        <f t="shared" si="49"/>
        <v>4.7203776302104164E-3</v>
      </c>
      <c r="E53" s="38">
        <f t="shared" ref="E53:F53" si="50">+E48/E41</f>
        <v>4.3176624224616399E-2</v>
      </c>
      <c r="F53" s="38">
        <f t="shared" si="50"/>
        <v>9.1719120412000338E-2</v>
      </c>
      <c r="G53" s="38">
        <f t="shared" ref="G53" si="51">+G48/G41</f>
        <v>-5.1805576717964347E-2</v>
      </c>
      <c r="H53" s="38">
        <f t="shared" ref="H53:I53" si="52">+H48/H41</f>
        <v>7.9793158313444704E-2</v>
      </c>
      <c r="I53" s="38">
        <f t="shared" si="52"/>
        <v>2.8379853422735059E-2</v>
      </c>
      <c r="J53" s="38">
        <f t="shared" ref="J53:O53" si="53">+J48/J41</f>
        <v>4.7315058205031789E-3</v>
      </c>
      <c r="K53" s="38">
        <f t="shared" si="53"/>
        <v>0.12567524626628535</v>
      </c>
      <c r="L53" s="38">
        <f t="shared" si="53"/>
        <v>5.677561513037091E-2</v>
      </c>
      <c r="M53" s="38">
        <f t="shared" si="53"/>
        <v>7.0649271381704432E-2</v>
      </c>
      <c r="N53" s="38">
        <f t="shared" si="53"/>
        <v>0.10507827415043908</v>
      </c>
      <c r="O53" s="38">
        <f t="shared" si="53"/>
        <v>2.5559150422289255E-2</v>
      </c>
      <c r="P53" s="38">
        <f t="shared" ref="P53:S53" si="54">+P48/P41</f>
        <v>-1.7789254716304433E-2</v>
      </c>
      <c r="Q53" s="38">
        <f t="shared" si="54"/>
        <v>4.1859101238912101E-2</v>
      </c>
      <c r="R53" s="38">
        <f t="shared" si="54"/>
        <v>-8.2495110366024027E-2</v>
      </c>
      <c r="S53" s="38">
        <f t="shared" si="54"/>
        <v>6.3710808330880711E-3</v>
      </c>
    </row>
    <row r="54" spans="1:22" s="38" customFormat="1">
      <c r="A54" s="39" t="s">
        <v>82</v>
      </c>
      <c r="B54" s="40"/>
      <c r="C54" s="40"/>
      <c r="D54" s="40"/>
      <c r="E54" s="40"/>
      <c r="F54" s="40"/>
      <c r="G54" s="40"/>
      <c r="H54" s="40"/>
      <c r="I54" s="40"/>
      <c r="J54" s="40"/>
      <c r="K54" s="40"/>
      <c r="L54" s="40"/>
      <c r="M54" s="40"/>
      <c r="N54" s="40"/>
      <c r="O54" s="40"/>
      <c r="P54" s="40"/>
      <c r="Q54" s="40"/>
      <c r="R54" s="40"/>
      <c r="S54" s="40"/>
      <c r="T54" s="40"/>
      <c r="U54" s="40"/>
      <c r="V54" s="39"/>
    </row>
    <row r="55" spans="1:22" s="38" customFormat="1">
      <c r="A55" s="38" t="s">
        <v>83</v>
      </c>
      <c r="B55" s="41">
        <f t="shared" ref="B55" si="55">IF(B42=0,IF(B54="","","*"&amp;TEXT(B54,"0.0x")),(B41+B42-B44)/B47)</f>
        <v>21.367782101167315</v>
      </c>
      <c r="C55" s="41">
        <f t="shared" ref="C55:D55" si="56">IF(C42=0,IF(C54="","","*"&amp;TEXT(C54,"0.0x")),(C41+C42-C44)/C47)</f>
        <v>20.898836291913216</v>
      </c>
      <c r="D55" s="41">
        <f t="shared" si="56"/>
        <v>17.123076923076926</v>
      </c>
      <c r="E55" s="41">
        <f t="shared" ref="E55:F55" si="57">IF(E42=0,IF(E54="","","*"&amp;TEXT(E54,"0.0x")),(E41+E42-E44)/E47)</f>
        <v>16.885298869143782</v>
      </c>
      <c r="F55" s="41">
        <f t="shared" si="57"/>
        <v>18.690241718889883</v>
      </c>
      <c r="G55" s="41">
        <f t="shared" ref="G55" si="58">IF(G42=0,IF(G54="","","*"&amp;TEXT(G54,"0.0x")),(G41+G42-G44)/G47)</f>
        <v>18.236180904522612</v>
      </c>
      <c r="H55" s="41">
        <f t="shared" ref="H55:I55" si="59">IF(H42=0,IF(H54="","","*"&amp;TEXT(H54,"0.0x")),(H41+H42-H44)/H47)</f>
        <v>18.505235602094242</v>
      </c>
      <c r="I55" s="41">
        <f t="shared" si="59"/>
        <v>18.288395904436861</v>
      </c>
      <c r="J55" s="41">
        <f t="shared" ref="J55:O55" si="60">IF(J42=0,IF(J54="","","*"&amp;TEXT(J54,"0.0x")),(J41+J42-J44)/J47)</f>
        <v>16.384041759880684</v>
      </c>
      <c r="K55" s="41">
        <f t="shared" si="60"/>
        <v>16.787107043374451</v>
      </c>
      <c r="L55" s="41">
        <f t="shared" si="60"/>
        <v>17.404705882352939</v>
      </c>
      <c r="M55" s="41">
        <f t="shared" si="60"/>
        <v>17.888157894736846</v>
      </c>
      <c r="N55" s="41">
        <f t="shared" si="60"/>
        <v>18.280168776371312</v>
      </c>
      <c r="O55" s="41">
        <f t="shared" si="60"/>
        <v>16.15715282922104</v>
      </c>
      <c r="P55" s="41">
        <f t="shared" ref="P55:S55" si="61">IF(P42=0,IF(P54="","","*"&amp;TEXT(P54,"0.0x")),(P41+P42-P44)/P47)</f>
        <v>15.68197633959638</v>
      </c>
      <c r="Q55" s="41">
        <f t="shared" si="61"/>
        <v>16.504077094143806</v>
      </c>
      <c r="R55" s="41">
        <f t="shared" si="61"/>
        <v>16.206629055007028</v>
      </c>
      <c r="S55" s="41">
        <f t="shared" si="61"/>
        <v>13.718935790725309</v>
      </c>
      <c r="T55" s="41"/>
      <c r="U55" s="41"/>
      <c r="V55" s="41" t="str">
        <f>IF(V42=0,IF(V54="","",CONCATENATE("* ",V54,"x")),(V41+V42-V44)/V47)</f>
        <v/>
      </c>
    </row>
    <row r="56" spans="1:22">
      <c r="U56" s="42"/>
    </row>
    <row r="57" spans="1:22" ht="80.25" customHeight="1">
      <c r="A57" s="43" t="s">
        <v>84</v>
      </c>
      <c r="B57" s="44" t="s">
        <v>289</v>
      </c>
      <c r="C57" s="44" t="s">
        <v>289</v>
      </c>
      <c r="D57" s="44" t="s">
        <v>289</v>
      </c>
      <c r="E57" s="44" t="s">
        <v>289</v>
      </c>
      <c r="F57" s="44" t="s">
        <v>289</v>
      </c>
      <c r="G57" s="44" t="s">
        <v>555</v>
      </c>
      <c r="H57" s="44" t="s">
        <v>289</v>
      </c>
      <c r="I57" s="44" t="s">
        <v>289</v>
      </c>
      <c r="J57" s="44" t="s">
        <v>289</v>
      </c>
      <c r="K57" s="44" t="s">
        <v>289</v>
      </c>
      <c r="L57" s="44" t="s">
        <v>289</v>
      </c>
      <c r="M57" s="44"/>
      <c r="N57" s="44" t="s">
        <v>113</v>
      </c>
      <c r="O57" s="44" t="s">
        <v>113</v>
      </c>
      <c r="P57" s="44" t="s">
        <v>113</v>
      </c>
      <c r="Q57" s="44"/>
      <c r="R57" s="44"/>
      <c r="S57" s="44"/>
      <c r="T57" s="44"/>
      <c r="U57" s="44"/>
      <c r="V57" s="44"/>
    </row>
    <row r="58" spans="1:22">
      <c r="A58" s="45"/>
      <c r="B58" s="42"/>
      <c r="C58" s="42"/>
      <c r="D58" s="42"/>
      <c r="E58" s="42"/>
      <c r="F58" s="42"/>
      <c r="G58" s="42"/>
      <c r="H58" s="42"/>
      <c r="I58" s="42"/>
      <c r="J58" s="42"/>
      <c r="K58" s="42"/>
      <c r="L58" s="42"/>
      <c r="M58" s="42"/>
      <c r="N58" s="42"/>
      <c r="O58" s="42"/>
      <c r="P58" s="42"/>
      <c r="Q58" s="42"/>
    </row>
    <row r="59" spans="1:22">
      <c r="A59" s="45"/>
    </row>
  </sheetData>
  <pageMargins left="0.7" right="0.7" top="0.75" bottom="0.75" header="0.3" footer="0.3"/>
  <pageSetup orientation="portrait" r:id="rId1"/>
  <ignoredErrors>
    <ignoredError sqref="P46:S50 Q24:U31 D46:I54" formulaRange="1"/>
  </ignoredErrors>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2:AF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2" width="10.6640625" style="14" customWidth="1"/>
    <col min="13" max="25" width="10.6640625" style="14" hidden="1" customWidth="1"/>
    <col min="26" max="16384" width="9.109375" style="14"/>
  </cols>
  <sheetData>
    <row r="2" spans="1:32">
      <c r="A2" s="13" t="s">
        <v>44</v>
      </c>
      <c r="B2" s="14" t="s">
        <v>262</v>
      </c>
    </row>
    <row r="3" spans="1:32" s="16" customFormat="1">
      <c r="A3" s="15" t="s">
        <v>45</v>
      </c>
      <c r="B3" s="16" t="s">
        <v>110</v>
      </c>
    </row>
    <row r="4" spans="1:32">
      <c r="A4" s="13" t="s">
        <v>2</v>
      </c>
      <c r="B4" s="14" t="s">
        <v>4</v>
      </c>
    </row>
    <row r="5" spans="1:32">
      <c r="A5" s="13" t="s">
        <v>46</v>
      </c>
    </row>
    <row r="6" spans="1:32">
      <c r="A6" s="13" t="s">
        <v>47</v>
      </c>
      <c r="B6" s="14">
        <v>2</v>
      </c>
    </row>
    <row r="7" spans="1:32">
      <c r="A7" s="13" t="s">
        <v>48</v>
      </c>
      <c r="B7" s="14" t="s">
        <v>462</v>
      </c>
    </row>
    <row r="8" spans="1:32">
      <c r="A8" s="13" t="s">
        <v>347</v>
      </c>
      <c r="B8" s="14" t="s">
        <v>385</v>
      </c>
    </row>
    <row r="9" spans="1:32">
      <c r="A9" s="17"/>
    </row>
    <row r="10" spans="1:32">
      <c r="A10" s="17" t="s">
        <v>49</v>
      </c>
      <c r="B10" s="18">
        <v>44377</v>
      </c>
      <c r="C10" s="18">
        <v>44286</v>
      </c>
      <c r="D10" s="18">
        <v>44196</v>
      </c>
      <c r="E10" s="18">
        <v>44104</v>
      </c>
      <c r="F10" s="18">
        <v>44012</v>
      </c>
      <c r="G10" s="18">
        <v>43921</v>
      </c>
      <c r="H10" s="18">
        <v>43830</v>
      </c>
      <c r="I10" s="18">
        <v>43738</v>
      </c>
      <c r="J10" s="18">
        <v>43646</v>
      </c>
      <c r="K10" s="18">
        <v>43555</v>
      </c>
      <c r="L10" s="18">
        <v>43465</v>
      </c>
      <c r="M10" s="18">
        <v>43373</v>
      </c>
      <c r="N10" s="18">
        <v>43281</v>
      </c>
      <c r="O10" s="18">
        <v>43190</v>
      </c>
      <c r="P10" s="18">
        <v>43100</v>
      </c>
      <c r="Q10" s="18">
        <v>43008</v>
      </c>
      <c r="R10" s="18">
        <v>42916</v>
      </c>
      <c r="S10" s="18">
        <v>42825</v>
      </c>
      <c r="T10" s="18">
        <v>42735</v>
      </c>
      <c r="U10" s="18">
        <v>42643</v>
      </c>
      <c r="V10" s="18">
        <v>42551</v>
      </c>
      <c r="W10" s="18">
        <v>42460</v>
      </c>
      <c r="X10" s="18">
        <v>42369</v>
      </c>
      <c r="Y10" s="18">
        <v>42277</v>
      </c>
    </row>
    <row r="11" spans="1:32">
      <c r="N11" s="48"/>
    </row>
    <row r="12" spans="1:32">
      <c r="A12" s="19" t="s">
        <v>50</v>
      </c>
      <c r="B12" s="20">
        <v>569.82000000000005</v>
      </c>
      <c r="C12" s="20">
        <v>528.85500000000002</v>
      </c>
      <c r="D12" s="20">
        <v>508</v>
      </c>
      <c r="E12" s="20">
        <v>509.39800000000002</v>
      </c>
      <c r="F12" s="20">
        <v>447.28100000000001</v>
      </c>
      <c r="G12" s="20">
        <v>398.84100000000001</v>
      </c>
      <c r="H12" s="20">
        <v>399.78699999999998</v>
      </c>
      <c r="I12" s="20">
        <v>423.15499999999997</v>
      </c>
      <c r="J12" s="20">
        <v>350.89800000000002</v>
      </c>
      <c r="K12" s="20">
        <v>447.28800000000001</v>
      </c>
      <c r="L12" s="20">
        <f>1722.38-M12-N12-O12</f>
        <v>436.89500000000021</v>
      </c>
      <c r="M12" s="20">
        <f>1285.485-N12-O12</f>
        <v>445.47499999999991</v>
      </c>
      <c r="N12" s="20">
        <v>431.97199999999998</v>
      </c>
      <c r="O12" s="20">
        <v>408.03800000000001</v>
      </c>
      <c r="P12" s="20">
        <f>1607.062-S12-R12-Q12</f>
        <v>454.96999999999991</v>
      </c>
      <c r="Q12" s="20">
        <v>384.65300000000002</v>
      </c>
      <c r="R12" s="20">
        <v>394.89800000000002</v>
      </c>
      <c r="S12" s="20">
        <v>372.541</v>
      </c>
      <c r="T12" s="20">
        <v>360.22199999999998</v>
      </c>
      <c r="U12" s="20">
        <v>367.78699999999998</v>
      </c>
      <c r="V12" s="20">
        <v>369.93299999999999</v>
      </c>
      <c r="W12" s="20">
        <v>353.28100000000001</v>
      </c>
      <c r="X12" s="20">
        <v>387.43200000000002</v>
      </c>
      <c r="Y12" s="20">
        <v>428.334</v>
      </c>
      <c r="AC12" s="14">
        <v>329.90199999999999</v>
      </c>
      <c r="AD12" s="14">
        <v>331.762</v>
      </c>
      <c r="AE12" s="14">
        <v>351.56299999999999</v>
      </c>
      <c r="AF12" s="14">
        <v>339.90699999999998</v>
      </c>
    </row>
    <row r="13" spans="1:32" s="21" customFormat="1">
      <c r="A13" s="21" t="s">
        <v>51</v>
      </c>
      <c r="B13" s="21">
        <f>+B12/F12-1</f>
        <v>0.27396424171829348</v>
      </c>
      <c r="C13" s="21">
        <f>+C12/G12-1</f>
        <v>0.32597952567564525</v>
      </c>
      <c r="D13" s="21">
        <f>+D12/H12-1</f>
        <v>0.27067663530830166</v>
      </c>
      <c r="E13" s="21">
        <f>+E12/I12-1</f>
        <v>0.20380947879618594</v>
      </c>
      <c r="F13" s="21">
        <f>+F12/J12-1</f>
        <v>0.27467526175697765</v>
      </c>
      <c r="G13" s="21">
        <f>+G12/AC12-1</f>
        <v>0.20896811780468139</v>
      </c>
      <c r="H13" s="21">
        <f>+H12/AD12-1</f>
        <v>0.20504156594184986</v>
      </c>
      <c r="I13" s="21">
        <f>+I12/AE12-1</f>
        <v>0.20363917704650381</v>
      </c>
      <c r="J13" s="21">
        <f>+J12/AF12-1</f>
        <v>3.2335315247994378E-2</v>
      </c>
      <c r="K13" s="21">
        <f t="shared" ref="K13:U13" si="0">+K12/O12-1</f>
        <v>9.6192021331346522E-2</v>
      </c>
      <c r="L13" s="21">
        <f t="shared" si="0"/>
        <v>-3.9727894146866172E-2</v>
      </c>
      <c r="M13" s="21">
        <f t="shared" si="0"/>
        <v>0.15812173569424881</v>
      </c>
      <c r="N13" s="21">
        <f t="shared" si="0"/>
        <v>9.388247091654045E-2</v>
      </c>
      <c r="O13" s="21">
        <f t="shared" si="0"/>
        <v>9.5283472154742643E-2</v>
      </c>
      <c r="P13" s="21">
        <f t="shared" si="0"/>
        <v>0.26302668909727878</v>
      </c>
      <c r="Q13" s="21">
        <f t="shared" si="0"/>
        <v>4.5858064586296043E-2</v>
      </c>
      <c r="R13" s="21">
        <f t="shared" si="0"/>
        <v>6.7485193264726462E-2</v>
      </c>
      <c r="S13" s="21">
        <f t="shared" si="0"/>
        <v>5.4517508725348884E-2</v>
      </c>
      <c r="T13" s="21">
        <f t="shared" si="0"/>
        <v>-7.023167936566943E-2</v>
      </c>
      <c r="U13" s="21">
        <f t="shared" si="0"/>
        <v>-0.14135464380600193</v>
      </c>
    </row>
    <row r="14" spans="1:32" s="24" customFormat="1">
      <c r="A14" s="22" t="s">
        <v>52</v>
      </c>
      <c r="B14" s="129">
        <v>0.24</v>
      </c>
      <c r="C14" s="23" t="s">
        <v>3</v>
      </c>
      <c r="D14" s="23" t="s">
        <v>3</v>
      </c>
      <c r="E14" s="23" t="s">
        <v>3</v>
      </c>
      <c r="F14" s="23" t="s">
        <v>3</v>
      </c>
      <c r="G14" s="23" t="s">
        <v>3</v>
      </c>
      <c r="H14" s="23" t="s">
        <v>3</v>
      </c>
      <c r="I14" s="23" t="s">
        <v>3</v>
      </c>
      <c r="J14" s="23" t="s">
        <v>3</v>
      </c>
      <c r="K14" s="23" t="s">
        <v>3</v>
      </c>
      <c r="L14" s="23" t="s">
        <v>3</v>
      </c>
      <c r="M14" s="23" t="s">
        <v>3</v>
      </c>
      <c r="N14" s="23" t="s">
        <v>3</v>
      </c>
      <c r="O14" s="23" t="s">
        <v>3</v>
      </c>
      <c r="P14" s="23" t="s">
        <v>3</v>
      </c>
      <c r="Q14" s="23" t="s">
        <v>3</v>
      </c>
      <c r="R14" s="23" t="s">
        <v>3</v>
      </c>
      <c r="S14" s="23" t="s">
        <v>3</v>
      </c>
      <c r="T14" s="23" t="s">
        <v>3</v>
      </c>
      <c r="U14" s="23" t="s">
        <v>3</v>
      </c>
      <c r="V14" s="22"/>
      <c r="W14" s="22"/>
      <c r="X14" s="22"/>
      <c r="Y14" s="22"/>
    </row>
    <row r="15" spans="1:32">
      <c r="B15" s="33"/>
      <c r="C15" s="33"/>
      <c r="D15" s="33"/>
      <c r="E15" s="33"/>
      <c r="F15" s="33"/>
      <c r="G15" s="33"/>
      <c r="H15" s="33"/>
      <c r="I15" s="33"/>
      <c r="J15" s="33"/>
      <c r="K15" s="33"/>
      <c r="L15" s="33"/>
    </row>
    <row r="16" spans="1:32" s="17" customFormat="1">
      <c r="A16" s="25" t="s">
        <v>53</v>
      </c>
      <c r="B16" s="26">
        <v>78</v>
      </c>
      <c r="C16" s="26">
        <v>65.787999999999997</v>
      </c>
      <c r="D16" s="26">
        <v>62</v>
      </c>
      <c r="E16" s="26">
        <v>58.886000000000003</v>
      </c>
      <c r="F16" s="26">
        <v>58.973999999999997</v>
      </c>
      <c r="G16" s="26">
        <v>57.445999999999998</v>
      </c>
      <c r="H16" s="26">
        <v>60.859000000000002</v>
      </c>
      <c r="I16" s="26">
        <v>86.832999999999998</v>
      </c>
      <c r="J16" s="26">
        <v>63.244999999999997</v>
      </c>
      <c r="K16" s="26">
        <f>41.731+30.204+3.045</f>
        <v>74.98</v>
      </c>
      <c r="L16" s="26">
        <f>190.927+122.135+10.65-M16-N16-O16</f>
        <v>78.119999999999976</v>
      </c>
      <c r="M16" s="26">
        <f>57.521+30.319+3.054</f>
        <v>90.894000000000005</v>
      </c>
      <c r="N16" s="26">
        <f>51.586+30.587+2.632</f>
        <v>84.805000000000007</v>
      </c>
      <c r="O16" s="26">
        <f>36.541+31.418+1.934</f>
        <v>69.893000000000001</v>
      </c>
      <c r="P16" s="26">
        <f>145.394+121.839+8.098-S16-R16-Q16</f>
        <v>71.438000000000017</v>
      </c>
      <c r="Q16" s="26">
        <f>106.385+91.519+5.989-R16-S16</f>
        <v>69.00800000000001</v>
      </c>
      <c r="R16" s="26">
        <f>42.474+30.288+1.987</f>
        <v>74.748999999999995</v>
      </c>
      <c r="S16" s="26">
        <f>27.908+30.207+2.021</f>
        <v>60.136000000000003</v>
      </c>
      <c r="T16" s="26">
        <f>116+129.083+12.403-W16-V16-U16</f>
        <v>97.061999999999983</v>
      </c>
      <c r="U16" s="26">
        <f>29+32.548+4.077</f>
        <v>65.625</v>
      </c>
      <c r="V16" s="26">
        <v>41.363999999999997</v>
      </c>
      <c r="W16" s="26">
        <f>17.818+32.655+2.962</f>
        <v>53.435000000000002</v>
      </c>
      <c r="X16" s="26">
        <f>135+144.652+11.823-(109.748+110.343+9.003)</f>
        <v>62.380999999999972</v>
      </c>
      <c r="Y16" s="26">
        <f>35+36.836+2.93</f>
        <v>74.766000000000005</v>
      </c>
      <c r="AC16" s="17">
        <v>53.84</v>
      </c>
      <c r="AD16" s="17">
        <f>27.323+29.811+3.03</f>
        <v>60.164000000000001</v>
      </c>
      <c r="AE16" s="17">
        <f>44.114+30.319+3.054</f>
        <v>77.486999999999995</v>
      </c>
      <c r="AF16" s="17">
        <f>36.025+30.587+2.632</f>
        <v>69.244</v>
      </c>
    </row>
    <row r="17" spans="1:28" s="21" customFormat="1">
      <c r="A17" s="21" t="s">
        <v>54</v>
      </c>
      <c r="B17" s="21">
        <f t="shared" ref="B17" si="1">+B16/B12</f>
        <v>0.13688533221017163</v>
      </c>
      <c r="C17" s="21">
        <f t="shared" ref="C17:D17" si="2">+C16/C12</f>
        <v>0.12439704644940483</v>
      </c>
      <c r="D17" s="21">
        <f t="shared" si="2"/>
        <v>0.12204724409448819</v>
      </c>
      <c r="E17" s="21">
        <f t="shared" ref="E17:F17" si="3">+E16/E12</f>
        <v>0.11559919748408906</v>
      </c>
      <c r="F17" s="21">
        <f t="shared" si="3"/>
        <v>0.13185000033535965</v>
      </c>
      <c r="G17" s="21">
        <f t="shared" ref="G17:H17" si="4">+G16/G12</f>
        <v>0.14403233368685767</v>
      </c>
      <c r="H17" s="21">
        <f t="shared" si="4"/>
        <v>0.15222856170911012</v>
      </c>
      <c r="I17" s="21">
        <f t="shared" ref="I17:J17" si="5">+I16/I12</f>
        <v>0.20520376694119177</v>
      </c>
      <c r="J17" s="21">
        <f t="shared" si="5"/>
        <v>0.18023756191257856</v>
      </c>
      <c r="K17" s="21">
        <f t="shared" ref="K17:L17" si="6">+K16/K12</f>
        <v>0.16763248734596056</v>
      </c>
      <c r="L17" s="21">
        <f t="shared" si="6"/>
        <v>0.17880726490346638</v>
      </c>
      <c r="M17" s="21">
        <f t="shared" ref="M17:Y17" si="7">+M16/M12</f>
        <v>0.20403838599248</v>
      </c>
      <c r="N17" s="21">
        <f t="shared" si="7"/>
        <v>0.19632059485337014</v>
      </c>
      <c r="O17" s="21">
        <f t="shared" si="7"/>
        <v>0.17129041902960018</v>
      </c>
      <c r="P17" s="21">
        <f t="shared" si="7"/>
        <v>0.15701694617227516</v>
      </c>
      <c r="Q17" s="21">
        <f t="shared" si="7"/>
        <v>0.17940325436172344</v>
      </c>
      <c r="R17" s="21">
        <f t="shared" si="7"/>
        <v>0.18928685382048019</v>
      </c>
      <c r="S17" s="21">
        <f t="shared" si="7"/>
        <v>0.16142115901337034</v>
      </c>
      <c r="T17" s="21">
        <f t="shared" si="7"/>
        <v>0.269450505521595</v>
      </c>
      <c r="U17" s="21">
        <f t="shared" si="7"/>
        <v>0.17843208161245505</v>
      </c>
      <c r="V17" s="21">
        <f t="shared" si="7"/>
        <v>0.11181484214709149</v>
      </c>
      <c r="W17" s="21">
        <f t="shared" si="7"/>
        <v>0.15125353472165218</v>
      </c>
      <c r="X17" s="21">
        <f t="shared" si="7"/>
        <v>0.16101148072435928</v>
      </c>
      <c r="Y17" s="21">
        <f t="shared" si="7"/>
        <v>0.17455070108840298</v>
      </c>
    </row>
    <row r="18" spans="1:28" s="24" customFormat="1"/>
    <row r="19" spans="1:28"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c r="Y19" s="20">
        <v>0</v>
      </c>
      <c r="AB19" s="17"/>
    </row>
    <row r="20" spans="1:28"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c r="Y20" s="20">
        <v>0</v>
      </c>
      <c r="AB20" s="14"/>
    </row>
    <row r="21" spans="1:28"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AB21" s="14"/>
    </row>
    <row r="22" spans="1:28" s="17" customFormat="1">
      <c r="A22" s="17" t="s">
        <v>58</v>
      </c>
      <c r="B22" s="27">
        <f t="shared" ref="B22" si="8">SUM(B16,B19:B21)</f>
        <v>78</v>
      </c>
      <c r="C22" s="27">
        <f t="shared" ref="C22:D22" si="9">SUM(C16,C19:C21)</f>
        <v>65.787999999999997</v>
      </c>
      <c r="D22" s="27">
        <f t="shared" si="9"/>
        <v>62</v>
      </c>
      <c r="E22" s="27">
        <f t="shared" ref="E22:F22" si="10">SUM(E16,E19:E21)</f>
        <v>58.886000000000003</v>
      </c>
      <c r="F22" s="27">
        <f t="shared" si="10"/>
        <v>58.973999999999997</v>
      </c>
      <c r="G22" s="27">
        <f t="shared" ref="G22:L22" si="11">SUM(G16,G19:G21)</f>
        <v>57.445999999999998</v>
      </c>
      <c r="H22" s="27">
        <f t="shared" si="11"/>
        <v>60.859000000000002</v>
      </c>
      <c r="I22" s="27">
        <f t="shared" si="11"/>
        <v>86.832999999999998</v>
      </c>
      <c r="J22" s="27">
        <f t="shared" si="11"/>
        <v>63.244999999999997</v>
      </c>
      <c r="K22" s="27">
        <f t="shared" si="11"/>
        <v>74.98</v>
      </c>
      <c r="L22" s="27">
        <f t="shared" si="11"/>
        <v>78.119999999999976</v>
      </c>
      <c r="M22" s="27">
        <f t="shared" ref="M22:Y22" si="12">SUM(M16,M19:M21)</f>
        <v>90.894000000000005</v>
      </c>
      <c r="N22" s="27">
        <f t="shared" si="12"/>
        <v>84.805000000000007</v>
      </c>
      <c r="O22" s="27">
        <f t="shared" si="12"/>
        <v>69.893000000000001</v>
      </c>
      <c r="P22" s="27">
        <f t="shared" si="12"/>
        <v>71.438000000000017</v>
      </c>
      <c r="Q22" s="27">
        <f t="shared" si="12"/>
        <v>69.00800000000001</v>
      </c>
      <c r="R22" s="27">
        <f t="shared" si="12"/>
        <v>74.748999999999995</v>
      </c>
      <c r="S22" s="27">
        <f t="shared" si="12"/>
        <v>60.136000000000003</v>
      </c>
      <c r="T22" s="27">
        <f t="shared" si="12"/>
        <v>97.061999999999983</v>
      </c>
      <c r="U22" s="27">
        <f t="shared" si="12"/>
        <v>65.625</v>
      </c>
      <c r="V22" s="27">
        <f t="shared" si="12"/>
        <v>41.363999999999997</v>
      </c>
      <c r="W22" s="27">
        <f t="shared" si="12"/>
        <v>53.435000000000002</v>
      </c>
      <c r="X22" s="27">
        <f t="shared" si="12"/>
        <v>62.380999999999972</v>
      </c>
      <c r="Y22" s="27">
        <f t="shared" si="12"/>
        <v>74.766000000000005</v>
      </c>
    </row>
    <row r="23" spans="1:28" s="17" customFormat="1">
      <c r="B23" s="21"/>
      <c r="C23" s="21"/>
      <c r="D23" s="21"/>
      <c r="E23" s="21"/>
      <c r="F23" s="21"/>
      <c r="G23" s="21"/>
      <c r="H23" s="21"/>
      <c r="I23" s="21"/>
      <c r="J23" s="21"/>
      <c r="K23" s="21"/>
      <c r="L23" s="21"/>
      <c r="M23" s="87"/>
      <c r="N23" s="27"/>
      <c r="O23" s="27"/>
      <c r="P23" s="27"/>
      <c r="Q23" s="27"/>
      <c r="R23" s="27"/>
      <c r="S23" s="27"/>
      <c r="T23" s="27"/>
      <c r="U23" s="27"/>
      <c r="V23" s="27"/>
      <c r="W23" s="27"/>
      <c r="X23" s="27"/>
      <c r="Y23" s="27"/>
    </row>
    <row r="24" spans="1:28" s="17" customFormat="1">
      <c r="A24" s="17" t="s">
        <v>59</v>
      </c>
      <c r="B24" s="27">
        <f t="shared" ref="B24:G24" si="13">SUM(B22:E22)</f>
        <v>264.67400000000004</v>
      </c>
      <c r="C24" s="27">
        <f t="shared" si="13"/>
        <v>245.648</v>
      </c>
      <c r="D24" s="27">
        <f t="shared" si="13"/>
        <v>237.30599999999998</v>
      </c>
      <c r="E24" s="27">
        <f t="shared" si="13"/>
        <v>236.16499999999999</v>
      </c>
      <c r="F24" s="27">
        <f t="shared" si="13"/>
        <v>264.11199999999997</v>
      </c>
      <c r="G24" s="27">
        <f t="shared" si="13"/>
        <v>268.38299999999998</v>
      </c>
      <c r="H24" s="27">
        <f>SUM(H22:J22)+AC16</f>
        <v>264.77700000000004</v>
      </c>
      <c r="I24" s="27">
        <f>SUM(I22:L22)</f>
        <v>303.178</v>
      </c>
      <c r="J24" s="27">
        <f>SUM(J22:M22)</f>
        <v>307.23899999999998</v>
      </c>
      <c r="K24" s="27">
        <f>SUM(K22:N22)</f>
        <v>328.79899999999998</v>
      </c>
      <c r="L24" s="27">
        <f>SUM(L22:O22)</f>
        <v>323.71199999999999</v>
      </c>
      <c r="M24" s="27">
        <f t="shared" ref="M24:V24" si="14">SUM(M22:P22)</f>
        <v>317.03000000000003</v>
      </c>
      <c r="N24" s="27">
        <f t="shared" si="14"/>
        <v>295.14400000000001</v>
      </c>
      <c r="O24" s="27">
        <f t="shared" si="14"/>
        <v>285.08800000000002</v>
      </c>
      <c r="P24" s="27">
        <f t="shared" si="14"/>
        <v>275.33100000000002</v>
      </c>
      <c r="Q24" s="27">
        <f t="shared" si="14"/>
        <v>300.95499999999998</v>
      </c>
      <c r="R24" s="27">
        <f t="shared" si="14"/>
        <v>297.572</v>
      </c>
      <c r="S24" s="27">
        <f t="shared" si="14"/>
        <v>264.18699999999995</v>
      </c>
      <c r="T24" s="27">
        <f t="shared" si="14"/>
        <v>257.48599999999999</v>
      </c>
      <c r="U24" s="27">
        <f t="shared" si="14"/>
        <v>222.80499999999998</v>
      </c>
      <c r="V24" s="27">
        <f t="shared" si="14"/>
        <v>231.94599999999997</v>
      </c>
      <c r="W24" s="27"/>
      <c r="X24" s="27"/>
      <c r="Y24" s="27"/>
      <c r="AB24" s="14"/>
    </row>
    <row r="25" spans="1:28" s="24" customFormat="1">
      <c r="A25" s="19" t="s">
        <v>60</v>
      </c>
      <c r="B25" s="28">
        <v>0</v>
      </c>
      <c r="C25" s="28">
        <v>0</v>
      </c>
      <c r="D25" s="28">
        <v>0</v>
      </c>
      <c r="E25" s="28">
        <v>0</v>
      </c>
      <c r="F25" s="28">
        <v>0</v>
      </c>
      <c r="G25" s="28">
        <v>0</v>
      </c>
      <c r="H25" s="28">
        <v>0</v>
      </c>
      <c r="I25" s="28">
        <v>0</v>
      </c>
      <c r="J25" s="28"/>
      <c r="K25" s="28">
        <v>0</v>
      </c>
      <c r="L25" s="28">
        <v>0</v>
      </c>
      <c r="M25" s="28">
        <v>0</v>
      </c>
      <c r="N25" s="28">
        <v>0</v>
      </c>
      <c r="O25" s="28">
        <v>0</v>
      </c>
      <c r="P25" s="28">
        <v>0</v>
      </c>
      <c r="Q25" s="28">
        <v>0</v>
      </c>
      <c r="R25" s="28">
        <v>0</v>
      </c>
      <c r="S25" s="28">
        <v>0</v>
      </c>
      <c r="T25" s="28">
        <v>0</v>
      </c>
      <c r="U25" s="28">
        <v>0</v>
      </c>
      <c r="V25" s="28">
        <v>0</v>
      </c>
      <c r="W25" s="28">
        <v>0</v>
      </c>
      <c r="X25" s="28">
        <v>0</v>
      </c>
      <c r="Y25" s="28">
        <v>0</v>
      </c>
      <c r="AB25" s="14"/>
    </row>
    <row r="26" spans="1:28" s="24" customFormat="1">
      <c r="A26" s="19" t="s">
        <v>61</v>
      </c>
      <c r="B26" s="29">
        <f>C26</f>
        <v>20.10499999999999</v>
      </c>
      <c r="C26" s="29">
        <f>265.753-C25-C24</f>
        <v>20.10499999999999</v>
      </c>
      <c r="D26" s="29">
        <f>266.651-D25-D24</f>
        <v>29.345000000000027</v>
      </c>
      <c r="E26" s="29">
        <f>F26</f>
        <v>35.481846153846163</v>
      </c>
      <c r="F26" s="29">
        <f>(F41-F44)/3.9-F25-F24</f>
        <v>35.481846153846163</v>
      </c>
      <c r="G26" s="29">
        <f>18.3/2</f>
        <v>9.15</v>
      </c>
      <c r="H26" s="29">
        <f>283.077-H25-H24</f>
        <v>18.299999999999955</v>
      </c>
      <c r="I26" s="29">
        <f>(I41-I44)/2.2-I24</f>
        <v>18.959727272727264</v>
      </c>
      <c r="J26" s="29"/>
      <c r="K26" s="29">
        <v>0</v>
      </c>
      <c r="L26" s="29">
        <v>0</v>
      </c>
      <c r="M26" s="29">
        <v>0</v>
      </c>
      <c r="N26" s="29">
        <v>0</v>
      </c>
      <c r="O26" s="29">
        <v>0</v>
      </c>
      <c r="P26" s="29">
        <v>0</v>
      </c>
      <c r="Q26" s="29">
        <v>0</v>
      </c>
      <c r="R26" s="29">
        <v>0</v>
      </c>
      <c r="S26" s="29">
        <v>0</v>
      </c>
      <c r="T26" s="29">
        <v>0</v>
      </c>
      <c r="U26" s="29">
        <v>0</v>
      </c>
      <c r="V26" s="29">
        <v>0</v>
      </c>
      <c r="W26" s="30"/>
      <c r="X26" s="30"/>
      <c r="Y26" s="30"/>
      <c r="Z26" s="113"/>
    </row>
    <row r="27" spans="1:28" s="32" customFormat="1">
      <c r="A27" s="17" t="s">
        <v>62</v>
      </c>
      <c r="B27" s="27">
        <f t="shared" ref="B27:C27" si="15">SUM(B24:B26)</f>
        <v>284.779</v>
      </c>
      <c r="C27" s="27">
        <f t="shared" si="15"/>
        <v>265.75299999999999</v>
      </c>
      <c r="D27" s="27">
        <f t="shared" ref="D27:E27" si="16">SUM(D24:D26)</f>
        <v>266.65100000000001</v>
      </c>
      <c r="E27" s="27">
        <f t="shared" si="16"/>
        <v>271.64684615384613</v>
      </c>
      <c r="F27" s="27">
        <f t="shared" ref="F27:I27" si="17">SUM(F24:F26)</f>
        <v>299.59384615384613</v>
      </c>
      <c r="G27" s="27">
        <f t="shared" si="17"/>
        <v>277.53299999999996</v>
      </c>
      <c r="H27" s="27">
        <f t="shared" si="17"/>
        <v>283.077</v>
      </c>
      <c r="I27" s="27">
        <f t="shared" si="17"/>
        <v>322.13772727272726</v>
      </c>
      <c r="J27" s="27"/>
      <c r="K27" s="27">
        <f t="shared" ref="K27:L27" si="18">SUM(K24:K26)</f>
        <v>328.79899999999998</v>
      </c>
      <c r="L27" s="27">
        <f t="shared" si="18"/>
        <v>323.71199999999999</v>
      </c>
      <c r="M27" s="27">
        <f t="shared" ref="M27:V27" si="19">SUM(M24:M26)</f>
        <v>317.03000000000003</v>
      </c>
      <c r="N27" s="27">
        <f t="shared" si="19"/>
        <v>295.14400000000001</v>
      </c>
      <c r="O27" s="27">
        <f t="shared" si="19"/>
        <v>285.08800000000002</v>
      </c>
      <c r="P27" s="27">
        <f t="shared" si="19"/>
        <v>275.33100000000002</v>
      </c>
      <c r="Q27" s="27">
        <f t="shared" si="19"/>
        <v>300.95499999999998</v>
      </c>
      <c r="R27" s="27">
        <f t="shared" si="19"/>
        <v>297.572</v>
      </c>
      <c r="S27" s="27">
        <f t="shared" si="19"/>
        <v>264.18699999999995</v>
      </c>
      <c r="T27" s="27">
        <f t="shared" si="19"/>
        <v>257.48599999999999</v>
      </c>
      <c r="U27" s="27">
        <f t="shared" si="19"/>
        <v>222.80499999999998</v>
      </c>
      <c r="V27" s="27">
        <f t="shared" si="19"/>
        <v>231.94599999999997</v>
      </c>
      <c r="W27" s="31"/>
      <c r="X27" s="31"/>
      <c r="Y27" s="31"/>
      <c r="AB27" s="17"/>
    </row>
    <row r="28" spans="1:28" s="24" customFormat="1">
      <c r="AB28" s="14"/>
    </row>
    <row r="29" spans="1:28" s="17" customFormat="1">
      <c r="A29" s="17" t="s">
        <v>58</v>
      </c>
      <c r="B29" s="27">
        <f t="shared" ref="B29:C29" si="20">B22</f>
        <v>78</v>
      </c>
      <c r="C29" s="27">
        <f t="shared" si="20"/>
        <v>65.787999999999997</v>
      </c>
      <c r="D29" s="27">
        <f t="shared" ref="D29:E29" si="21">D22</f>
        <v>62</v>
      </c>
      <c r="E29" s="27">
        <f t="shared" si="21"/>
        <v>58.886000000000003</v>
      </c>
      <c r="F29" s="27">
        <f t="shared" ref="F29:P29" si="22">F22</f>
        <v>58.973999999999997</v>
      </c>
      <c r="G29" s="27">
        <f t="shared" si="22"/>
        <v>57.445999999999998</v>
      </c>
      <c r="H29" s="27">
        <f t="shared" si="22"/>
        <v>60.859000000000002</v>
      </c>
      <c r="I29" s="27">
        <f t="shared" si="22"/>
        <v>86.832999999999998</v>
      </c>
      <c r="J29" s="27">
        <f t="shared" si="22"/>
        <v>63.244999999999997</v>
      </c>
      <c r="K29" s="27">
        <f t="shared" si="22"/>
        <v>74.98</v>
      </c>
      <c r="L29" s="27">
        <f t="shared" si="22"/>
        <v>78.119999999999976</v>
      </c>
      <c r="M29" s="27">
        <f t="shared" si="22"/>
        <v>90.894000000000005</v>
      </c>
      <c r="N29" s="27">
        <f t="shared" si="22"/>
        <v>84.805000000000007</v>
      </c>
      <c r="O29" s="27">
        <f t="shared" si="22"/>
        <v>69.893000000000001</v>
      </c>
      <c r="P29" s="27">
        <f t="shared" si="22"/>
        <v>71.438000000000017</v>
      </c>
      <c r="Q29" s="27">
        <f t="shared" ref="Q29:Y29" si="23">Q22</f>
        <v>69.00800000000001</v>
      </c>
      <c r="R29" s="27">
        <f t="shared" si="23"/>
        <v>74.748999999999995</v>
      </c>
      <c r="S29" s="27">
        <f t="shared" si="23"/>
        <v>60.136000000000003</v>
      </c>
      <c r="T29" s="27">
        <f t="shared" si="23"/>
        <v>97.061999999999983</v>
      </c>
      <c r="U29" s="27">
        <f t="shared" si="23"/>
        <v>65.625</v>
      </c>
      <c r="V29" s="27">
        <f t="shared" si="23"/>
        <v>41.363999999999997</v>
      </c>
      <c r="W29" s="27">
        <f t="shared" si="23"/>
        <v>53.435000000000002</v>
      </c>
      <c r="X29" s="27">
        <f t="shared" si="23"/>
        <v>62.380999999999972</v>
      </c>
      <c r="Y29" s="27">
        <f t="shared" si="23"/>
        <v>74.766000000000005</v>
      </c>
      <c r="AB29" s="14"/>
    </row>
    <row r="30" spans="1:28" s="33" customFormat="1">
      <c r="A30" s="20" t="s">
        <v>63</v>
      </c>
      <c r="B30" s="20">
        <v>-15.986000000000001</v>
      </c>
      <c r="C30" s="20">
        <v>-16.864000000000001</v>
      </c>
      <c r="D30" s="20">
        <v>-16.292999999999999</v>
      </c>
      <c r="E30" s="20">
        <v>-15.794</v>
      </c>
      <c r="F30" s="20">
        <v>-14.952999999999999</v>
      </c>
      <c r="G30" s="20">
        <v>-12.648999999999999</v>
      </c>
      <c r="H30" s="20">
        <v>-12.157</v>
      </c>
      <c r="I30" s="20">
        <v>-12.819000000000001</v>
      </c>
      <c r="J30" s="20">
        <v>-6.1029999999999998</v>
      </c>
      <c r="K30" s="20">
        <v>-5.5069999999999997</v>
      </c>
      <c r="L30" s="20">
        <v>-4.6399999999999997</v>
      </c>
      <c r="M30" s="20">
        <v>-5.62</v>
      </c>
      <c r="N30" s="20">
        <v>-5.681</v>
      </c>
      <c r="O30" s="20">
        <v>-9.5830000000000002</v>
      </c>
      <c r="P30" s="20">
        <f>-47.552-S30-R30-Q30</f>
        <v>-11.372</v>
      </c>
      <c r="Q30" s="20">
        <v>-12.122</v>
      </c>
      <c r="R30" s="20">
        <v>-12.404999999999999</v>
      </c>
      <c r="S30" s="20">
        <v>-11.653</v>
      </c>
      <c r="T30" s="20">
        <f>-51.584-W30-V30-U30</f>
        <v>-11.660000000000004</v>
      </c>
      <c r="U30" s="20">
        <v>-13.756</v>
      </c>
      <c r="V30" s="20">
        <v>-13.805</v>
      </c>
      <c r="W30" s="20">
        <v>-12.363</v>
      </c>
      <c r="X30" s="20">
        <v>0</v>
      </c>
      <c r="Y30" s="20">
        <v>-11.11</v>
      </c>
    </row>
    <row r="31" spans="1:28" s="33" customFormat="1">
      <c r="A31" s="20" t="s">
        <v>64</v>
      </c>
      <c r="B31" s="20">
        <f>-12.793-6.407-C31</f>
        <v>-11.549999999999999</v>
      </c>
      <c r="C31" s="20">
        <f>-4.229-3.421</f>
        <v>-7.65</v>
      </c>
      <c r="D31" s="20">
        <f>-1.861-1.231</f>
        <v>-3.0920000000000001</v>
      </c>
      <c r="E31" s="20">
        <f>4.64+2.346-F31-G31</f>
        <v>4.6549999999999985</v>
      </c>
      <c r="F31" s="20">
        <f>2.986-0.655-G31</f>
        <v>-2.7629999999999999</v>
      </c>
      <c r="G31" s="20">
        <f>0.682+4.412</f>
        <v>5.0940000000000003</v>
      </c>
      <c r="H31" s="20">
        <f>-2.4-4.685</f>
        <v>-7.0849999999999991</v>
      </c>
      <c r="I31" s="20">
        <f>-17.814+11.5-J31-K31</f>
        <v>2.7219999999999991</v>
      </c>
      <c r="J31" s="20">
        <f>-5.213-3.823-K31</f>
        <v>-8.411999999999999</v>
      </c>
      <c r="K31" s="20">
        <f>-1.219+0.595</f>
        <v>-0.62400000000000011</v>
      </c>
      <c r="L31" s="20">
        <f>11.251-8.518</f>
        <v>2.7329999999999988</v>
      </c>
      <c r="M31" s="20">
        <v>-11.054</v>
      </c>
      <c r="N31" s="20">
        <v>0.502</v>
      </c>
      <c r="O31" s="20">
        <f>-8.266+4.635</f>
        <v>-3.6310000000000002</v>
      </c>
      <c r="P31" s="20">
        <f>-83.803+57.349-S31-R31-Q31</f>
        <v>-0.69700000000000095</v>
      </c>
      <c r="Q31" s="20">
        <v>-8.27</v>
      </c>
      <c r="R31" s="20">
        <v>-11.234</v>
      </c>
      <c r="S31" s="20">
        <v>-6.2530000000000001</v>
      </c>
      <c r="T31" s="20">
        <f>-6.637-7.654-W31-V31-U31</f>
        <v>0.621999999999999</v>
      </c>
      <c r="U31" s="20">
        <v>-5.0789999999999997</v>
      </c>
      <c r="V31" s="20">
        <v>-12</v>
      </c>
      <c r="W31" s="20">
        <v>2.1659999999999999</v>
      </c>
      <c r="X31" s="20">
        <v>0</v>
      </c>
      <c r="Y31" s="20">
        <v>-6.9850000000000003</v>
      </c>
    </row>
    <row r="32" spans="1:28" s="33" customFormat="1">
      <c r="A32" s="20" t="s">
        <v>65</v>
      </c>
      <c r="B32" s="20">
        <f>-23.484+15.456-37.866+13.897-13.491-0.137+4.701-13.351-13.506-27.858+15.53-C32</f>
        <v>-13.162000000000006</v>
      </c>
      <c r="C32" s="20">
        <f>-16.446+0.407-19.07+6.768-8.592-7.32-1.541-9.698-6.75-19.267+14.562</f>
        <v>-66.947000000000003</v>
      </c>
      <c r="D32" s="20">
        <f>7.913+0.136-0.48-1.601+7.205-12.964+7.562+1.126-8.653-6.921-2.031-9.355-5.815</f>
        <v>-23.878000000000004</v>
      </c>
      <c r="E32" s="20">
        <f>26.308-11.168-11.801-26.775+18.195-1.488-9.984+1.795+19.145-17.864-23.902+4.676-F32-G32</f>
        <v>-6.8649999999999949</v>
      </c>
      <c r="F32" s="20">
        <f>16.534-16.666-28.934+11.834-8.119-2.94-4.767+35.836-11.596-19.026+3.467-1.621-G32</f>
        <v>7.1020000000000003</v>
      </c>
      <c r="G32" s="20">
        <f>-22.05-16.412-20.311+3.429+12.308-9.891-2.752+40.464-3.358-15.534+3.843-2.836</f>
        <v>-33.100000000000009</v>
      </c>
      <c r="H32" s="20">
        <f>8.931+195+0.993-16.526+3.96+7.792+7.325-2.957+12.895-3.821-195-90.567-5.222-4.278</f>
        <v>-81.47499999999998</v>
      </c>
      <c r="I32" s="20">
        <f>-12.395-43.477-5.269+11.204+5.615+7.398-12.802-17.067-10.919-18.8-20.339-J32-K32</f>
        <v>-24.439999999999991</v>
      </c>
      <c r="J32" s="20">
        <f>-27.034-20.497-0.069+7.228+10.917+0.285-14.525-10.381-6.894-13.146-18.295-K32</f>
        <v>-51.167999999999999</v>
      </c>
      <c r="K32" s="20">
        <f>-3.27-14.448+6.77+3.895+3.099+0.089-19.924-3.406-3.913-9.403-0.732</f>
        <v>-41.243000000000002</v>
      </c>
      <c r="L32" s="20">
        <f>-16.881-14.706-3.312+18.347-0.154-1.127+3.057-33.321-33.527-M32-N32-O32</f>
        <v>24.828999999999994</v>
      </c>
      <c r="M32" s="20">
        <f>-29.022-18.852-10.427+17.547-0.015-10.438-12.339-28.743-14.164-N32-O32</f>
        <v>-20.915999999999983</v>
      </c>
      <c r="N32" s="20">
        <f>-21.445-11.175-1.393+7.359-0.058-16.045-13.116-18.33-11.334-O32</f>
        <v>-17.837000000000003</v>
      </c>
      <c r="O32" s="20">
        <f>-4.848-11.49-5.698+7.34+0.051-26.131-7.348-12.252-7.324</f>
        <v>-67.7</v>
      </c>
      <c r="P32" s="20">
        <f>-32.012+19.557+12.554+0.438+11.126-16.811-21.3+3.368-S32-R32-Q32</f>
        <v>39.864999999999988</v>
      </c>
      <c r="Q32" s="20">
        <f>-26.633-30.112+9.045+0.979-6.534-17.89+8.2-R32-S32</f>
        <v>-6.1899999999999906</v>
      </c>
      <c r="R32" s="20">
        <f>-42.806-6.296+4.256+0.166-4.365-1.479-11.221+4.99-S32</f>
        <v>-3.3370000000000033</v>
      </c>
      <c r="S32" s="20">
        <f>-27.882-0.755-0.541+0.286-12.352-4.998-8.381+1.205</f>
        <v>-53.417999999999999</v>
      </c>
      <c r="T32" s="20">
        <f>16.041-12.313-20.194-3.197+8.865+14.485-20.42-13.314-W32-V32-U32</f>
        <v>-4.7690000000000055</v>
      </c>
      <c r="U32" s="20">
        <f>4.055-24.295-10.831+6.245+4.481+15.352-20.285-V32-W32</f>
        <v>34.123000000000005</v>
      </c>
      <c r="V32" s="20">
        <f>3.011-23.791-16.308-0.036+1.237-1.109-13.871-8.534-W32</f>
        <v>-31.357000000000003</v>
      </c>
      <c r="W32" s="20">
        <f>15.952-12.408-15.851+6.668-3.777-8.995-10.238+0.605</f>
        <v>-28.044</v>
      </c>
      <c r="X32" s="20">
        <v>0</v>
      </c>
      <c r="Y32" s="20">
        <f>9.161-36.472-3.346+7.658-3.64+7.548-0.305-29.497-(-10.698-31.192+11.437-0.163-6.87+8.246-0.101-21.404)</f>
        <v>1.8520000000000039</v>
      </c>
    </row>
    <row r="33" spans="1:30"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c r="W33" s="20">
        <v>0</v>
      </c>
      <c r="X33" s="20">
        <v>0</v>
      </c>
      <c r="Y33" s="20">
        <v>0</v>
      </c>
    </row>
    <row r="34" spans="1:30"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c r="X34" s="29">
        <v>0</v>
      </c>
      <c r="Y34" s="29">
        <v>0</v>
      </c>
    </row>
    <row r="35" spans="1:30" s="27" customFormat="1">
      <c r="A35" s="27" t="s">
        <v>67</v>
      </c>
      <c r="B35" s="27">
        <f>13.53-C35</f>
        <v>36.702999999999996</v>
      </c>
      <c r="C35" s="27">
        <v>-23.172999999999998</v>
      </c>
      <c r="D35" s="27">
        <f>53.818-E35-F35-G35</f>
        <v>11.541999999999993</v>
      </c>
      <c r="E35" s="27">
        <f>42.276-F35-G35</f>
        <v>20.755000000000003</v>
      </c>
      <c r="F35" s="27">
        <f>21.521-G35</f>
        <v>33.057000000000002</v>
      </c>
      <c r="G35" s="27">
        <v>-11.536</v>
      </c>
      <c r="H35" s="27">
        <f>-0.163-I35-J35-K35</f>
        <v>-50.192</v>
      </c>
      <c r="I35" s="27">
        <f>50.029-J35-K35</f>
        <v>44.657000000000004</v>
      </c>
      <c r="J35" s="27">
        <f>5.372-K35</f>
        <v>-9.4659999999999993</v>
      </c>
      <c r="K35" s="27">
        <f>14.838</f>
        <v>14.837999999999999</v>
      </c>
      <c r="L35" s="27">
        <f>192.022-M35-N35-O35</f>
        <v>97.007999999999981</v>
      </c>
      <c r="M35" s="27">
        <f>95.014-N35-O35</f>
        <v>48.314999999999998</v>
      </c>
      <c r="N35" s="27">
        <f>46.699-O35</f>
        <v>54.942</v>
      </c>
      <c r="O35" s="27">
        <v>-8.2430000000000003</v>
      </c>
      <c r="P35" s="27">
        <f>176.892-S35-R35-Q35</f>
        <v>93.987000000000009</v>
      </c>
      <c r="Q35" s="27">
        <f>82.905-S35-R35</f>
        <v>36.125999999999991</v>
      </c>
      <c r="R35" s="27">
        <f>46.779-S35</f>
        <v>52.903000000000006</v>
      </c>
      <c r="S35" s="27">
        <v>-6.1239999999999997</v>
      </c>
      <c r="T35" s="27">
        <v>0</v>
      </c>
      <c r="U35" s="27">
        <f>104.755-W35-V35</f>
        <v>76.081999999999994</v>
      </c>
      <c r="V35" s="27">
        <f>28.673-W35</f>
        <v>31.648</v>
      </c>
      <c r="W35" s="27">
        <v>-2.9750000000000001</v>
      </c>
      <c r="X35" s="27">
        <v>0</v>
      </c>
      <c r="Y35" s="27">
        <f>89.102-45.218</f>
        <v>43.884</v>
      </c>
      <c r="AD35" s="33"/>
    </row>
    <row r="36" spans="1:30" s="33" customFormat="1">
      <c r="A36" s="20" t="s">
        <v>68</v>
      </c>
      <c r="B36" s="29">
        <f>-41.264-0.064+0.926+6.18+3.92</f>
        <v>-30.302</v>
      </c>
      <c r="C36" s="29">
        <f>-27.382-0.068+0.872+3.862+14.084</f>
        <v>-8.6320000000000014</v>
      </c>
      <c r="D36" s="29">
        <f>-120.224-0.317-E36-F36-G36</f>
        <v>-41.275999999999996</v>
      </c>
      <c r="E36" s="29">
        <f>-79.096-0.169-F36-G36</f>
        <v>-49.641999999999996</v>
      </c>
      <c r="F36" s="29">
        <f>-23.319+0.016+0.225+1.767+5.961+0.376</f>
        <v>-14.974</v>
      </c>
      <c r="G36" s="29">
        <f>-27.894-0.058+1.139+2.185+9.979</f>
        <v>-14.649000000000001</v>
      </c>
      <c r="H36" s="29">
        <f>-184.973-1.311-I36-J36-K36</f>
        <v>-37.967000000000013</v>
      </c>
      <c r="I36" s="29">
        <f>-147.071-1.246-J36-K36</f>
        <v>-56.591000000000008</v>
      </c>
      <c r="J36" s="29">
        <f>-91.201-0.525-K36</f>
        <v>-55.319000000000003</v>
      </c>
      <c r="K36" s="29">
        <v>-36.406999999999996</v>
      </c>
      <c r="L36" s="29">
        <f>-132.168-M36-N36-O36</f>
        <v>-40.865999999999993</v>
      </c>
      <c r="M36" s="29">
        <f>-91.302-N36-O36</f>
        <v>-34.806000000000004</v>
      </c>
      <c r="N36" s="29">
        <f>-56.496-O36</f>
        <v>-29.599000000000004</v>
      </c>
      <c r="O36" s="29">
        <v>-26.896999999999998</v>
      </c>
      <c r="P36" s="29">
        <f>-98.314-S36-R36-Q36</f>
        <v>-34.182999999999993</v>
      </c>
      <c r="Q36" s="29">
        <f>-64.131-S36-R36</f>
        <v>-23.430999999999994</v>
      </c>
      <c r="R36" s="29">
        <f>-40.7-S36</f>
        <v>-23.711000000000002</v>
      </c>
      <c r="S36" s="29">
        <v>-16.989000000000001</v>
      </c>
      <c r="T36" s="29">
        <v>0</v>
      </c>
      <c r="U36" s="29">
        <f>-49.946-W36-V36</f>
        <v>-17.769999999999996</v>
      </c>
      <c r="V36" s="29">
        <f>-32.176-W36</f>
        <v>-15.225000000000001</v>
      </c>
      <c r="W36" s="29">
        <v>-16.951000000000001</v>
      </c>
      <c r="X36" s="29">
        <v>0</v>
      </c>
      <c r="Y36" s="29">
        <f>-91.583+63.246</f>
        <v>-28.336999999999996</v>
      </c>
    </row>
    <row r="37" spans="1:30" s="27" customFormat="1">
      <c r="A37" s="27" t="s">
        <v>69</v>
      </c>
      <c r="B37" s="27">
        <f t="shared" ref="B37:Y37" si="24">+B35+B36</f>
        <v>6.4009999999999962</v>
      </c>
      <c r="C37" s="27">
        <f t="shared" si="24"/>
        <v>-31.805</v>
      </c>
      <c r="D37" s="27">
        <f t="shared" si="24"/>
        <v>-29.734000000000002</v>
      </c>
      <c r="E37" s="27">
        <f t="shared" si="24"/>
        <v>-28.886999999999993</v>
      </c>
      <c r="F37" s="27">
        <f t="shared" si="24"/>
        <v>18.083000000000002</v>
      </c>
      <c r="G37" s="27">
        <f t="shared" si="24"/>
        <v>-26.185000000000002</v>
      </c>
      <c r="H37" s="27">
        <f t="shared" si="24"/>
        <v>-88.15900000000002</v>
      </c>
      <c r="I37" s="27">
        <f t="shared" si="24"/>
        <v>-11.934000000000005</v>
      </c>
      <c r="J37" s="27">
        <f t="shared" si="24"/>
        <v>-64.784999999999997</v>
      </c>
      <c r="K37" s="27">
        <f t="shared" si="24"/>
        <v>-21.568999999999996</v>
      </c>
      <c r="L37" s="27">
        <f t="shared" si="24"/>
        <v>56.141999999999989</v>
      </c>
      <c r="M37" s="27">
        <f t="shared" si="24"/>
        <v>13.508999999999993</v>
      </c>
      <c r="N37" s="27">
        <f t="shared" si="24"/>
        <v>25.342999999999996</v>
      </c>
      <c r="O37" s="27">
        <f t="shared" si="24"/>
        <v>-35.14</v>
      </c>
      <c r="P37" s="27">
        <f t="shared" si="24"/>
        <v>59.804000000000016</v>
      </c>
      <c r="Q37" s="27">
        <f t="shared" si="24"/>
        <v>12.694999999999997</v>
      </c>
      <c r="R37" s="27">
        <f t="shared" si="24"/>
        <v>29.192000000000004</v>
      </c>
      <c r="S37" s="27">
        <f t="shared" si="24"/>
        <v>-23.113</v>
      </c>
      <c r="T37" s="27">
        <f t="shared" si="24"/>
        <v>0</v>
      </c>
      <c r="U37" s="27">
        <f t="shared" si="24"/>
        <v>58.311999999999998</v>
      </c>
      <c r="V37" s="27">
        <f t="shared" si="24"/>
        <v>16.422999999999998</v>
      </c>
      <c r="W37" s="27">
        <f t="shared" si="24"/>
        <v>-19.926000000000002</v>
      </c>
      <c r="X37" s="27">
        <f t="shared" si="24"/>
        <v>0</v>
      </c>
      <c r="Y37" s="27">
        <f t="shared" si="24"/>
        <v>15.547000000000004</v>
      </c>
    </row>
    <row r="39" spans="1:30" s="35" customFormat="1">
      <c r="A39" s="34" t="s">
        <v>70</v>
      </c>
      <c r="B39" s="20">
        <v>333</v>
      </c>
      <c r="C39" s="20">
        <v>339</v>
      </c>
      <c r="D39" s="20">
        <v>289</v>
      </c>
      <c r="E39" s="20">
        <v>254</v>
      </c>
      <c r="F39" s="20">
        <v>252</v>
      </c>
      <c r="G39" s="20">
        <v>80</v>
      </c>
      <c r="H39" s="20">
        <v>67</v>
      </c>
      <c r="I39" s="20">
        <v>57</v>
      </c>
      <c r="J39" s="20">
        <v>302</v>
      </c>
      <c r="K39" s="20">
        <v>119</v>
      </c>
      <c r="L39" s="20">
        <v>62</v>
      </c>
      <c r="M39" s="20">
        <v>101</v>
      </c>
      <c r="N39" s="20">
        <v>127</v>
      </c>
      <c r="O39" s="20">
        <v>87</v>
      </c>
      <c r="P39" s="20">
        <v>41</v>
      </c>
      <c r="Q39" s="20">
        <v>77</v>
      </c>
      <c r="R39" s="20">
        <v>90</v>
      </c>
      <c r="S39" s="20">
        <v>117</v>
      </c>
      <c r="T39" s="20">
        <v>98</v>
      </c>
      <c r="U39" s="20">
        <v>40</v>
      </c>
      <c r="V39" s="20">
        <v>152</v>
      </c>
      <c r="W39" s="20"/>
      <c r="X39" s="20"/>
      <c r="Y39" s="20"/>
      <c r="AA39" s="33"/>
      <c r="AB39" s="33"/>
      <c r="AC39" s="33"/>
    </row>
    <row r="40" spans="1:30" s="35" customFormat="1">
      <c r="A40" s="34" t="s">
        <v>71</v>
      </c>
      <c r="B40" s="20">
        <f>500+22.645</f>
        <v>522.64499999999998</v>
      </c>
      <c r="C40" s="20">
        <f>500+22.221</f>
        <v>522.221</v>
      </c>
      <c r="D40" s="20">
        <f>500+23</f>
        <v>523</v>
      </c>
      <c r="E40" s="20">
        <f>280+218.2</f>
        <v>498.2</v>
      </c>
      <c r="F40" s="20">
        <f>280+218.2</f>
        <v>498.2</v>
      </c>
      <c r="G40" s="20">
        <v>218.2</v>
      </c>
      <c r="H40" s="20">
        <f>218.188+9.827</f>
        <v>228.01499999999999</v>
      </c>
      <c r="I40" s="20">
        <f>218.188+8.973</f>
        <v>227.161</v>
      </c>
      <c r="J40" s="20">
        <f>539.065+2.773-320.9</f>
        <v>220.9380000000001</v>
      </c>
      <c r="K40" s="20">
        <v>540.4</v>
      </c>
      <c r="L40" s="20">
        <f>541.788+1.606</f>
        <v>543.39400000000001</v>
      </c>
      <c r="M40" s="20">
        <v>543.1</v>
      </c>
      <c r="N40" s="20">
        <v>544.5</v>
      </c>
      <c r="O40" s="20">
        <v>544.5</v>
      </c>
      <c r="P40" s="20">
        <f>545.875+6.784</f>
        <v>552.65899999999999</v>
      </c>
      <c r="Q40" s="20">
        <f>622.9-Q39</f>
        <v>545.9</v>
      </c>
      <c r="R40" s="20">
        <f>5.985+16.248+617.674-R39</f>
        <v>549.90699999999993</v>
      </c>
      <c r="S40" s="20">
        <f>7.875+18.69+646.632-S39</f>
        <v>556.197</v>
      </c>
      <c r="T40" s="20">
        <f>4.259+25.574+629.239-T39</f>
        <v>561.072</v>
      </c>
      <c r="U40" s="20">
        <f>5.279+20.76+649.511-U39</f>
        <v>635.54999999999995</v>
      </c>
      <c r="V40" s="20">
        <f>10.129+35.588+832.339-V39</f>
        <v>726.05600000000004</v>
      </c>
      <c r="W40" s="20"/>
      <c r="X40" s="20"/>
      <c r="Y40" s="20"/>
      <c r="AA40" s="33"/>
      <c r="AB40" s="33"/>
      <c r="AC40" s="33"/>
    </row>
    <row r="41" spans="1:30" s="35" customFormat="1">
      <c r="A41" s="34" t="s">
        <v>72</v>
      </c>
      <c r="B41" s="20">
        <f>B39+B40+500</f>
        <v>1355.645</v>
      </c>
      <c r="C41" s="20">
        <f>C39+C40+500</f>
        <v>1361.221</v>
      </c>
      <c r="D41" s="20">
        <f>D39+D40+500+6</f>
        <v>1318</v>
      </c>
      <c r="E41" s="20">
        <f t="shared" ref="E41:J41" si="25">E39+E40+500</f>
        <v>1252.2</v>
      </c>
      <c r="F41" s="20">
        <f t="shared" si="25"/>
        <v>1250.2</v>
      </c>
      <c r="G41" s="20">
        <f t="shared" si="25"/>
        <v>798.2</v>
      </c>
      <c r="H41" s="20">
        <f t="shared" si="25"/>
        <v>795.01499999999999</v>
      </c>
      <c r="I41" s="20">
        <f t="shared" si="25"/>
        <v>784.16100000000006</v>
      </c>
      <c r="J41" s="20">
        <f t="shared" si="25"/>
        <v>1022.9380000000001</v>
      </c>
      <c r="K41" s="20">
        <f t="shared" ref="K41:V41" si="26">K39+K40</f>
        <v>659.4</v>
      </c>
      <c r="L41" s="20">
        <f t="shared" si="26"/>
        <v>605.39400000000001</v>
      </c>
      <c r="M41" s="20">
        <f t="shared" si="26"/>
        <v>644.1</v>
      </c>
      <c r="N41" s="20">
        <f t="shared" si="26"/>
        <v>671.5</v>
      </c>
      <c r="O41" s="20">
        <f t="shared" si="26"/>
        <v>631.5</v>
      </c>
      <c r="P41" s="20">
        <f t="shared" si="26"/>
        <v>593.65899999999999</v>
      </c>
      <c r="Q41" s="20">
        <f t="shared" si="26"/>
        <v>622.9</v>
      </c>
      <c r="R41" s="20">
        <f t="shared" si="26"/>
        <v>639.90699999999993</v>
      </c>
      <c r="S41" s="20">
        <f t="shared" si="26"/>
        <v>673.197</v>
      </c>
      <c r="T41" s="20">
        <f t="shared" si="26"/>
        <v>659.072</v>
      </c>
      <c r="U41" s="20">
        <f t="shared" si="26"/>
        <v>675.55</v>
      </c>
      <c r="V41" s="20">
        <f t="shared" si="26"/>
        <v>878.05600000000004</v>
      </c>
      <c r="W41" s="20"/>
      <c r="X41" s="20"/>
      <c r="Y41" s="20"/>
      <c r="AA41" s="33"/>
      <c r="AB41" s="33"/>
      <c r="AC41" s="33"/>
    </row>
    <row r="42" spans="1:30" s="35" customFormat="1">
      <c r="A42" s="34" t="s">
        <v>73</v>
      </c>
      <c r="B42" s="36">
        <f>79190353/1000000*20.12</f>
        <v>1593.30990236</v>
      </c>
      <c r="C42" s="36">
        <f>79165630/1000000*20.84</f>
        <v>1649.8117291999999</v>
      </c>
      <c r="D42" s="36">
        <v>1483</v>
      </c>
      <c r="E42" s="36">
        <f>78916106/1000000*12.9</f>
        <v>1018.0177674</v>
      </c>
      <c r="F42" s="36">
        <f>78903587/1000000*16.31</f>
        <v>1286.9175039699999</v>
      </c>
      <c r="G42" s="36">
        <f>78884749/1000000*9.95</f>
        <v>784.90325254999993</v>
      </c>
      <c r="H42" s="36">
        <f>78514758/1000000*14.58</f>
        <v>1144.7451716400001</v>
      </c>
      <c r="I42" s="36">
        <f>78608410/1000000*21.16</f>
        <v>1663.3539556000001</v>
      </c>
      <c r="J42" s="36">
        <f>80278742/1000000*20.22</f>
        <v>1623.2361632399998</v>
      </c>
      <c r="K42" s="36">
        <f>80189569/1000000*26.11</f>
        <v>2093.7496465899999</v>
      </c>
      <c r="L42" s="36">
        <f>(79545023/1000000)*23.15</f>
        <v>1841.4672824499999</v>
      </c>
      <c r="M42" s="36">
        <f>(80313239/1000000)*23.37</f>
        <v>1876.9203954299999</v>
      </c>
      <c r="N42" s="36">
        <f>80846067/1000000*22.1</f>
        <v>1786.6980807000002</v>
      </c>
      <c r="O42" s="36">
        <f>80574856/1000000*20.65</f>
        <v>1663.8707763999998</v>
      </c>
      <c r="P42" s="36">
        <f>80453852/1000000*21.45</f>
        <v>1725.7351253999998</v>
      </c>
      <c r="Q42" s="36">
        <f>80444425/1000000*18.38</f>
        <v>1478.5685314999998</v>
      </c>
      <c r="R42" s="36">
        <f>80419576/1000000*20.93</f>
        <v>1683.18172568</v>
      </c>
      <c r="S42" s="36">
        <f>80191560/1000000*13.05</f>
        <v>1046.4998579999999</v>
      </c>
      <c r="T42" s="36">
        <f>80182217/1000000*13.35</f>
        <v>1070.4325969499998</v>
      </c>
      <c r="U42" s="36">
        <f>80174963/1000000*9.75</f>
        <v>781.70588925000004</v>
      </c>
      <c r="V42" s="36">
        <f>80174963/1000000*13.74</f>
        <v>1101.60399162</v>
      </c>
      <c r="W42" s="36"/>
      <c r="X42" s="36"/>
      <c r="Y42" s="36"/>
      <c r="AB42" s="33"/>
    </row>
    <row r="43" spans="1:30">
      <c r="B43" s="35"/>
      <c r="C43" s="35"/>
      <c r="D43" s="35"/>
      <c r="E43" s="35"/>
      <c r="F43" s="35"/>
      <c r="G43" s="35"/>
      <c r="H43" s="35"/>
      <c r="I43" s="35"/>
      <c r="J43" s="35"/>
      <c r="K43" s="35"/>
      <c r="L43" s="35"/>
      <c r="M43" s="35"/>
      <c r="N43" s="35"/>
      <c r="O43" s="35"/>
      <c r="P43" s="35"/>
      <c r="Q43" s="35"/>
      <c r="R43" s="35"/>
      <c r="S43" s="35"/>
      <c r="T43" s="35"/>
    </row>
    <row r="44" spans="1:30">
      <c r="A44" s="19" t="s">
        <v>74</v>
      </c>
      <c r="B44" s="28">
        <v>77.87</v>
      </c>
      <c r="C44" s="28">
        <v>79.308000000000007</v>
      </c>
      <c r="D44" s="28">
        <v>76</v>
      </c>
      <c r="E44" s="28">
        <v>83.858999999999995</v>
      </c>
      <c r="F44" s="28">
        <v>81.784000000000006</v>
      </c>
      <c r="G44" s="28">
        <v>66.488</v>
      </c>
      <c r="H44" s="28">
        <v>57.259</v>
      </c>
      <c r="I44" s="28">
        <v>75.457999999999998</v>
      </c>
      <c r="J44" s="28">
        <v>106.09399999999999</v>
      </c>
      <c r="K44" s="28">
        <v>84.742999999999995</v>
      </c>
      <c r="L44" s="28">
        <v>64.260000000000005</v>
      </c>
      <c r="M44" s="28">
        <v>61.735999999999997</v>
      </c>
      <c r="N44" s="28">
        <v>64.421999999999997</v>
      </c>
      <c r="O44" s="28">
        <v>64.78</v>
      </c>
      <c r="P44" s="28">
        <v>62.097999999999999</v>
      </c>
      <c r="Q44" s="28">
        <v>59.543999999999997</v>
      </c>
      <c r="R44" s="28">
        <v>58.104999999999997</v>
      </c>
      <c r="S44" s="28">
        <v>64.429000000000002</v>
      </c>
      <c r="T44" s="28">
        <v>69.831000000000003</v>
      </c>
      <c r="U44" s="28">
        <v>79.911000000000001</v>
      </c>
      <c r="V44" s="28">
        <v>69.238</v>
      </c>
      <c r="W44" s="28"/>
      <c r="X44" s="28"/>
      <c r="Y44" s="28"/>
    </row>
    <row r="46" spans="1:30">
      <c r="A46" s="14" t="s">
        <v>75</v>
      </c>
      <c r="B46" s="58">
        <f t="shared" ref="B46:G46" si="27">SUM(B12:E12)</f>
        <v>2116.0730000000003</v>
      </c>
      <c r="C46" s="58">
        <f t="shared" si="27"/>
        <v>1993.5340000000001</v>
      </c>
      <c r="D46" s="58">
        <f t="shared" si="27"/>
        <v>1863.52</v>
      </c>
      <c r="E46" s="58">
        <f t="shared" si="27"/>
        <v>1755.307</v>
      </c>
      <c r="F46" s="58">
        <f t="shared" si="27"/>
        <v>1669.0640000000001</v>
      </c>
      <c r="G46" s="58">
        <f t="shared" si="27"/>
        <v>1572.681</v>
      </c>
      <c r="H46" s="51">
        <v>1503.742</v>
      </c>
      <c r="I46" s="51">
        <f>1614.588+1103.955-1015.91</f>
        <v>1702.6329999999998</v>
      </c>
      <c r="J46" s="51"/>
      <c r="K46" s="33">
        <f t="shared" ref="K46:V46" si="28">SUM(K12:N12)</f>
        <v>1761.63</v>
      </c>
      <c r="L46" s="33">
        <f t="shared" si="28"/>
        <v>1722.38</v>
      </c>
      <c r="M46" s="33">
        <f t="shared" si="28"/>
        <v>1740.4549999999999</v>
      </c>
      <c r="N46" s="33">
        <f t="shared" si="28"/>
        <v>1679.633</v>
      </c>
      <c r="O46" s="33">
        <f t="shared" si="28"/>
        <v>1642.5590000000002</v>
      </c>
      <c r="P46" s="33">
        <f t="shared" si="28"/>
        <v>1607.0619999999999</v>
      </c>
      <c r="Q46" s="33">
        <f t="shared" si="28"/>
        <v>1512.3140000000001</v>
      </c>
      <c r="R46" s="33">
        <f t="shared" si="28"/>
        <v>1495.4480000000001</v>
      </c>
      <c r="S46" s="33">
        <f t="shared" si="28"/>
        <v>1470.4829999999999</v>
      </c>
      <c r="T46" s="33">
        <f t="shared" si="28"/>
        <v>1451.223</v>
      </c>
      <c r="U46" s="33">
        <f t="shared" si="28"/>
        <v>1478.433</v>
      </c>
      <c r="V46" s="33">
        <f t="shared" si="28"/>
        <v>1538.98</v>
      </c>
    </row>
    <row r="47" spans="1:30">
      <c r="A47" s="14" t="s">
        <v>76</v>
      </c>
      <c r="B47" s="33">
        <f t="shared" ref="B47" si="29">+B27</f>
        <v>284.779</v>
      </c>
      <c r="C47" s="33">
        <f t="shared" ref="C47" si="30">+C27</f>
        <v>265.75299999999999</v>
      </c>
      <c r="D47" s="33">
        <f t="shared" ref="D47:E47" si="31">+D27</f>
        <v>266.65100000000001</v>
      </c>
      <c r="E47" s="33">
        <f t="shared" si="31"/>
        <v>271.64684615384613</v>
      </c>
      <c r="F47" s="33">
        <f t="shared" ref="F47:G47" si="32">+F27</f>
        <v>299.59384615384613</v>
      </c>
      <c r="G47" s="33">
        <f t="shared" si="32"/>
        <v>277.53299999999996</v>
      </c>
      <c r="H47" s="33">
        <f t="shared" ref="H47:I47" si="33">+H27</f>
        <v>283.077</v>
      </c>
      <c r="I47" s="33">
        <f t="shared" si="33"/>
        <v>322.13772727272726</v>
      </c>
      <c r="J47" s="33"/>
      <c r="K47" s="33">
        <f t="shared" ref="K47:P47" si="34">+K27</f>
        <v>328.79899999999998</v>
      </c>
      <c r="L47" s="33">
        <f t="shared" si="34"/>
        <v>323.71199999999999</v>
      </c>
      <c r="M47" s="33">
        <f t="shared" si="34"/>
        <v>317.03000000000003</v>
      </c>
      <c r="N47" s="33">
        <f t="shared" si="34"/>
        <v>295.14400000000001</v>
      </c>
      <c r="O47" s="33">
        <f t="shared" si="34"/>
        <v>285.08800000000002</v>
      </c>
      <c r="P47" s="33">
        <f t="shared" si="34"/>
        <v>275.33100000000002</v>
      </c>
      <c r="Q47" s="33">
        <f t="shared" ref="Q47:V47" si="35">+Q27</f>
        <v>300.95499999999998</v>
      </c>
      <c r="R47" s="33">
        <f t="shared" si="35"/>
        <v>297.572</v>
      </c>
      <c r="S47" s="33">
        <f t="shared" si="35"/>
        <v>264.18699999999995</v>
      </c>
      <c r="T47" s="33">
        <f t="shared" si="35"/>
        <v>257.48599999999999</v>
      </c>
      <c r="U47" s="33">
        <f t="shared" si="35"/>
        <v>222.80499999999998</v>
      </c>
      <c r="V47" s="33">
        <f t="shared" si="35"/>
        <v>231.94599999999997</v>
      </c>
      <c r="AB47" s="143"/>
    </row>
    <row r="48" spans="1:30">
      <c r="A48" s="14" t="s">
        <v>77</v>
      </c>
      <c r="B48" s="33">
        <f t="shared" ref="B48:J48" si="36">+SUM(B37:E37)</f>
        <v>-84.025000000000006</v>
      </c>
      <c r="C48" s="33">
        <f t="shared" si="36"/>
        <v>-72.342999999999989</v>
      </c>
      <c r="D48" s="33">
        <f t="shared" si="36"/>
        <v>-66.722999999999999</v>
      </c>
      <c r="E48" s="33">
        <f t="shared" si="36"/>
        <v>-125.14800000000001</v>
      </c>
      <c r="F48" s="33">
        <f t="shared" si="36"/>
        <v>-108.19500000000002</v>
      </c>
      <c r="G48" s="33">
        <f t="shared" si="36"/>
        <v>-191.06300000000002</v>
      </c>
      <c r="H48" s="33">
        <f t="shared" si="36"/>
        <v>-186.447</v>
      </c>
      <c r="I48" s="33">
        <f t="shared" si="36"/>
        <v>-42.145999999999994</v>
      </c>
      <c r="J48" s="33">
        <f t="shared" si="36"/>
        <v>-16.703000000000003</v>
      </c>
      <c r="K48" s="33">
        <f t="shared" ref="K48:V48" si="37">+SUM(K37:N37)</f>
        <v>73.424999999999983</v>
      </c>
      <c r="L48" s="33">
        <f t="shared" si="37"/>
        <v>59.853999999999971</v>
      </c>
      <c r="M48" s="33">
        <f t="shared" si="37"/>
        <v>63.516000000000005</v>
      </c>
      <c r="N48" s="33">
        <f t="shared" si="37"/>
        <v>62.702000000000012</v>
      </c>
      <c r="O48" s="33">
        <f t="shared" si="37"/>
        <v>66.551000000000016</v>
      </c>
      <c r="P48" s="33">
        <f t="shared" si="37"/>
        <v>78.578000000000017</v>
      </c>
      <c r="Q48" s="33">
        <f t="shared" si="37"/>
        <v>18.774000000000001</v>
      </c>
      <c r="R48" s="33">
        <f t="shared" si="37"/>
        <v>64.391000000000005</v>
      </c>
      <c r="S48" s="33">
        <f t="shared" si="37"/>
        <v>51.622</v>
      </c>
      <c r="T48" s="33">
        <f t="shared" si="37"/>
        <v>54.808999999999997</v>
      </c>
      <c r="U48" s="33">
        <f t="shared" si="37"/>
        <v>54.808999999999997</v>
      </c>
      <c r="V48" s="33">
        <f t="shared" si="37"/>
        <v>12.044</v>
      </c>
    </row>
    <row r="50" spans="1:25" s="37" customFormat="1">
      <c r="A50" s="37" t="s">
        <v>78</v>
      </c>
      <c r="B50" s="37">
        <f t="shared" ref="B50" si="38">+SUM(B39:B40)/B47</f>
        <v>3.0045930353010579</v>
      </c>
      <c r="C50" s="37">
        <f t="shared" ref="C50" si="39">+SUM(C39:C40)/C47</f>
        <v>3.2406821371724872</v>
      </c>
      <c r="D50" s="37">
        <f t="shared" ref="D50:E50" si="40">+SUM(D39:D40)/D47</f>
        <v>3.045178904260625</v>
      </c>
      <c r="E50" s="37">
        <f t="shared" si="40"/>
        <v>2.7690363817954822</v>
      </c>
      <c r="F50" s="37">
        <f t="shared" ref="F50:G50" si="41">+SUM(F39:F40)/F47</f>
        <v>2.5040567742995647</v>
      </c>
      <c r="G50" s="37">
        <f t="shared" si="41"/>
        <v>1.0744668201619267</v>
      </c>
      <c r="H50" s="37">
        <f t="shared" ref="H50:I50" si="42">+SUM(H39:H40)/H47</f>
        <v>1.0421722711488393</v>
      </c>
      <c r="I50" s="37">
        <f t="shared" si="42"/>
        <v>0.88211027750693882</v>
      </c>
      <c r="K50" s="37">
        <f t="shared" ref="K50" si="43">+SUM(K39:K40)/K47</f>
        <v>2.0054805519481507</v>
      </c>
      <c r="L50" s="37">
        <f t="shared" ref="L50:M50" si="44">+SUM(L39:L40)/L47</f>
        <v>1.8701623665480427</v>
      </c>
      <c r="M50" s="37">
        <f t="shared" si="44"/>
        <v>2.0316689272308612</v>
      </c>
      <c r="N50" s="37">
        <f t="shared" ref="N50:V50" si="45">+SUM(N39:N40)/N47</f>
        <v>2.2751605995717346</v>
      </c>
      <c r="O50" s="37">
        <f t="shared" si="45"/>
        <v>2.215105511280727</v>
      </c>
      <c r="P50" s="37">
        <f t="shared" si="45"/>
        <v>2.156164761686842</v>
      </c>
      <c r="Q50" s="37">
        <f t="shared" si="45"/>
        <v>2.0697446462095663</v>
      </c>
      <c r="R50" s="37">
        <f t="shared" si="45"/>
        <v>2.1504274595728088</v>
      </c>
      <c r="S50" s="37">
        <f t="shared" si="45"/>
        <v>2.5481836729286456</v>
      </c>
      <c r="T50" s="37">
        <f t="shared" si="45"/>
        <v>2.5596420776275215</v>
      </c>
      <c r="U50" s="37">
        <f t="shared" si="45"/>
        <v>3.0320235183231974</v>
      </c>
      <c r="V50" s="37">
        <f t="shared" si="45"/>
        <v>3.7856052701922005</v>
      </c>
    </row>
    <row r="51" spans="1:25" s="37" customFormat="1">
      <c r="A51" s="37" t="s">
        <v>79</v>
      </c>
      <c r="B51" s="37">
        <f t="shared" ref="B51" si="46">+B41/B47</f>
        <v>4.7603404745434181</v>
      </c>
      <c r="C51" s="37">
        <f t="shared" ref="C51" si="47">+C41/C47</f>
        <v>5.1221284425763773</v>
      </c>
      <c r="D51" s="37">
        <f t="shared" ref="D51:E51" si="48">+D41/D47</f>
        <v>4.9427903889353502</v>
      </c>
      <c r="E51" s="37">
        <f t="shared" si="48"/>
        <v>4.6096614694021572</v>
      </c>
      <c r="F51" s="37">
        <f t="shared" ref="F51:G51" si="49">+F41/F47</f>
        <v>4.1729829101963691</v>
      </c>
      <c r="G51" s="37">
        <f t="shared" si="49"/>
        <v>2.8760543791188802</v>
      </c>
      <c r="H51" s="37">
        <f t="shared" ref="H51:I51" si="50">+H41/H47</f>
        <v>2.8084761390010491</v>
      </c>
      <c r="I51" s="37">
        <f t="shared" si="50"/>
        <v>2.434241424122658</v>
      </c>
      <c r="K51" s="37">
        <f t="shared" ref="K51:L51" si="51">+K41/K47</f>
        <v>2.0054805519481507</v>
      </c>
      <c r="L51" s="37">
        <f t="shared" si="51"/>
        <v>1.8701623665480427</v>
      </c>
      <c r="M51" s="37">
        <f t="shared" ref="M51:V51" si="52">+M41/M47</f>
        <v>2.0316689272308612</v>
      </c>
      <c r="N51" s="37">
        <f t="shared" si="52"/>
        <v>2.2751605995717346</v>
      </c>
      <c r="O51" s="37">
        <f t="shared" si="52"/>
        <v>2.215105511280727</v>
      </c>
      <c r="P51" s="37">
        <f t="shared" si="52"/>
        <v>2.156164761686842</v>
      </c>
      <c r="Q51" s="37">
        <f t="shared" si="52"/>
        <v>2.0697446462095663</v>
      </c>
      <c r="R51" s="37">
        <f t="shared" si="52"/>
        <v>2.1504274595728088</v>
      </c>
      <c r="S51" s="37">
        <f t="shared" si="52"/>
        <v>2.5481836729286456</v>
      </c>
      <c r="T51" s="37">
        <f t="shared" si="52"/>
        <v>2.5596420776275215</v>
      </c>
      <c r="U51" s="37">
        <f t="shared" si="52"/>
        <v>3.0320235183231974</v>
      </c>
      <c r="V51" s="37">
        <f t="shared" si="52"/>
        <v>3.7856052701922005</v>
      </c>
    </row>
    <row r="52" spans="1:25" s="37" customFormat="1">
      <c r="A52" s="37" t="s">
        <v>80</v>
      </c>
      <c r="B52" s="37">
        <f t="shared" ref="B52" si="53">+(B41-B44)/B47</f>
        <v>4.4869003683558129</v>
      </c>
      <c r="C52" s="37">
        <f t="shared" ref="C52" si="54">+(C41-C44)/C47</f>
        <v>4.8237009553984338</v>
      </c>
      <c r="D52" s="37">
        <f t="shared" ref="D52:E52" si="55">+(D41-D44)/D47</f>
        <v>4.6577736442015967</v>
      </c>
      <c r="E52" s="37">
        <f t="shared" si="55"/>
        <v>4.300955510958941</v>
      </c>
      <c r="F52" s="37">
        <f t="shared" ref="F52:G52" si="56">+(F41-F44)/F47</f>
        <v>3.9</v>
      </c>
      <c r="G52" s="37">
        <f t="shared" si="56"/>
        <v>2.63648647187902</v>
      </c>
      <c r="H52" s="37">
        <f t="shared" ref="H52:I52" si="57">+(H41-H44)/H47</f>
        <v>2.6062025526623498</v>
      </c>
      <c r="I52" s="37">
        <f t="shared" si="57"/>
        <v>2.2000000000000002</v>
      </c>
      <c r="J52" s="37">
        <v>2.2000000000000002</v>
      </c>
      <c r="K52" s="37">
        <f t="shared" ref="K52:L52" si="58">+(K41-K44)/K47</f>
        <v>1.7477455831678319</v>
      </c>
      <c r="L52" s="37">
        <f t="shared" si="58"/>
        <v>1.6716525800711746</v>
      </c>
      <c r="M52" s="37">
        <f t="shared" ref="M52:V52" si="59">+(M41-M44)/M47</f>
        <v>1.8369365675172695</v>
      </c>
      <c r="N52" s="37">
        <f t="shared" si="59"/>
        <v>2.0568874854308405</v>
      </c>
      <c r="O52" s="37">
        <f t="shared" si="59"/>
        <v>1.987877427320687</v>
      </c>
      <c r="P52" s="37">
        <f t="shared" si="59"/>
        <v>1.9306253200692984</v>
      </c>
      <c r="Q52" s="37">
        <f t="shared" si="59"/>
        <v>1.871894469272815</v>
      </c>
      <c r="R52" s="37">
        <f t="shared" si="59"/>
        <v>1.9551637922922853</v>
      </c>
      <c r="S52" s="37">
        <f t="shared" si="59"/>
        <v>2.3043071763561422</v>
      </c>
      <c r="T52" s="37">
        <f t="shared" si="59"/>
        <v>2.2884389830903427</v>
      </c>
      <c r="U52" s="37">
        <f t="shared" si="59"/>
        <v>2.6733646013330041</v>
      </c>
      <c r="V52" s="37">
        <f t="shared" si="59"/>
        <v>3.4870961344450868</v>
      </c>
    </row>
    <row r="53" spans="1:25" s="38" customFormat="1">
      <c r="A53" s="38" t="s">
        <v>81</v>
      </c>
      <c r="B53" s="38">
        <f t="shared" ref="B53" si="60">+B48/B41</f>
        <v>-6.1981565970442118E-2</v>
      </c>
      <c r="C53" s="38">
        <f t="shared" ref="C53:D53" si="61">+C48/C41</f>
        <v>-5.3145668484397453E-2</v>
      </c>
      <c r="D53" s="38">
        <f t="shared" si="61"/>
        <v>-5.0624430955993928E-2</v>
      </c>
      <c r="E53" s="38">
        <f t="shared" ref="E53:F53" si="62">+E48/E41</f>
        <v>-9.994250119789172E-2</v>
      </c>
      <c r="F53" s="38">
        <f t="shared" si="62"/>
        <v>-8.6542153255479135E-2</v>
      </c>
      <c r="G53" s="38">
        <f t="shared" ref="G53:H53" si="63">+G48/G41</f>
        <v>-0.23936732648459033</v>
      </c>
      <c r="H53" s="38">
        <f t="shared" si="63"/>
        <v>-0.23452010339427559</v>
      </c>
      <c r="I53" s="38">
        <f t="shared" ref="I53:J53" si="64">+I48/I41</f>
        <v>-5.3746615809763545E-2</v>
      </c>
      <c r="J53" s="38">
        <f t="shared" si="64"/>
        <v>-1.6328457834199141E-2</v>
      </c>
      <c r="K53" s="38">
        <f t="shared" ref="K53:P53" si="65">+K48/K41</f>
        <v>0.11135122838944493</v>
      </c>
      <c r="L53" s="38">
        <f t="shared" si="65"/>
        <v>9.8867844742432154E-2</v>
      </c>
      <c r="M53" s="38">
        <f t="shared" si="65"/>
        <v>9.8612016767582675E-2</v>
      </c>
      <c r="N53" s="38">
        <f t="shared" si="65"/>
        <v>9.3376023827252436E-2</v>
      </c>
      <c r="O53" s="38">
        <f t="shared" si="65"/>
        <v>0.10538558986539986</v>
      </c>
      <c r="P53" s="38">
        <f t="shared" si="65"/>
        <v>0.13236218098268537</v>
      </c>
      <c r="Q53" s="38">
        <f t="shared" ref="Q53:V53" si="66">+Q48/Q41</f>
        <v>3.0139669288810407E-2</v>
      </c>
      <c r="R53" s="38">
        <f t="shared" si="66"/>
        <v>0.1006255596516369</v>
      </c>
      <c r="S53" s="38">
        <f t="shared" si="66"/>
        <v>7.6681862812817053E-2</v>
      </c>
      <c r="T53" s="38">
        <f t="shared" si="66"/>
        <v>8.3160868615265102E-2</v>
      </c>
      <c r="U53" s="38">
        <f t="shared" si="66"/>
        <v>8.113241062837688E-2</v>
      </c>
      <c r="V53" s="38">
        <f t="shared" si="66"/>
        <v>1.3716664996310031E-2</v>
      </c>
    </row>
    <row r="54" spans="1:25" s="38" customFormat="1">
      <c r="A54" s="39" t="s">
        <v>82</v>
      </c>
      <c r="B54" s="40"/>
      <c r="C54" s="40"/>
      <c r="D54" s="40"/>
      <c r="E54" s="40"/>
      <c r="F54" s="40"/>
      <c r="G54" s="40"/>
      <c r="H54" s="40"/>
      <c r="I54" s="40"/>
      <c r="J54" s="40"/>
      <c r="K54" s="40"/>
      <c r="L54" s="40"/>
      <c r="M54" s="40"/>
      <c r="N54" s="40"/>
      <c r="O54" s="40"/>
      <c r="P54" s="40"/>
      <c r="Q54" s="40"/>
      <c r="R54" s="40"/>
      <c r="S54" s="40"/>
      <c r="T54" s="40"/>
      <c r="U54" s="40"/>
      <c r="V54" s="40"/>
      <c r="W54" s="39"/>
      <c r="X54" s="39"/>
      <c r="Y54" s="39"/>
    </row>
    <row r="55" spans="1:25" s="38" customFormat="1">
      <c r="A55" s="38" t="s">
        <v>83</v>
      </c>
      <c r="B55" s="41">
        <f t="shared" ref="B55" si="67">IF(B42=0,IF(B54="","","*"&amp;TEXT(B54,"0.0x")),(B41+B42-B44)/B47)</f>
        <v>10.081799930331943</v>
      </c>
      <c r="C55" s="41">
        <f t="shared" ref="C55" si="68">IF(C42=0,IF(C54="","","*"&amp;TEXT(C54,"0.0x")),(C41+C42-C44)/C47)</f>
        <v>11.031765320429122</v>
      </c>
      <c r="D55" s="41">
        <f t="shared" ref="D55:E55" si="69">IF(D42=0,IF(D54="","","*"&amp;TEXT(D54,"0.0x")),(D41+D42-D44)/D47)</f>
        <v>10.219350386835226</v>
      </c>
      <c r="E55" s="41">
        <f t="shared" si="69"/>
        <v>8.0485335955704933</v>
      </c>
      <c r="F55" s="41">
        <f t="shared" ref="F55:G55" si="70">IF(F42=0,IF(F54="","","*"&amp;TEXT(F54,"0.0x")),(F41+F42-F44)/F47)</f>
        <v>8.1955405142372246</v>
      </c>
      <c r="G55" s="41">
        <f t="shared" si="70"/>
        <v>5.4646303414368749</v>
      </c>
      <c r="H55" s="41">
        <f t="shared" ref="H55:I55" si="71">IF(H42=0,IF(H54="","","*"&amp;TEXT(H54,"0.0x")),(H41+H42-H44)/H47)</f>
        <v>6.6501382014080974</v>
      </c>
      <c r="I55" s="41">
        <f t="shared" si="71"/>
        <v>7.36348696466644</v>
      </c>
      <c r="J55" s="41"/>
      <c r="K55" s="41">
        <f t="shared" ref="K55:P55" si="72">IF(K42=0,IF(K54="","","*"&amp;TEXT(K54,"0.0x")),(K41+K42-K44)/K47)</f>
        <v>8.1156166733779607</v>
      </c>
      <c r="L55" s="41">
        <f t="shared" si="72"/>
        <v>7.3602501064217565</v>
      </c>
      <c r="M55" s="41">
        <f t="shared" si="72"/>
        <v>7.7572608126360274</v>
      </c>
      <c r="N55" s="41">
        <f t="shared" si="72"/>
        <v>8.1105361474398929</v>
      </c>
      <c r="O55" s="41">
        <f t="shared" si="72"/>
        <v>7.8242184041418783</v>
      </c>
      <c r="P55" s="41">
        <f t="shared" si="72"/>
        <v>8.1984815563812266</v>
      </c>
      <c r="Q55" s="41">
        <f t="shared" ref="Q55:V55" si="73">IF(Q42=0,IF(Q54="","","*"&amp;TEXT(Q54,"0.0x")),(Q41+Q42-Q44)/Q47)</f>
        <v>6.7848167716103731</v>
      </c>
      <c r="R55" s="41">
        <f t="shared" si="73"/>
        <v>7.6115485518798804</v>
      </c>
      <c r="S55" s="41">
        <f t="shared" si="73"/>
        <v>6.2655159337893238</v>
      </c>
      <c r="T55" s="41">
        <f t="shared" si="73"/>
        <v>6.4456848020863262</v>
      </c>
      <c r="U55" s="41">
        <f t="shared" si="73"/>
        <v>6.1818401258948414</v>
      </c>
      <c r="V55" s="41">
        <f t="shared" si="73"/>
        <v>8.2364946652238036</v>
      </c>
      <c r="W55" s="41" t="str">
        <f>IF(W42=0,IF(W54="","",CONCATENATE("* ",W54,"x")),(W41+W42-W44)/W47)</f>
        <v/>
      </c>
      <c r="X55" s="41" t="str">
        <f>IF(X42=0,IF(X54="","",CONCATENATE("* ",X54,"x")),(X41+X42-X44)/X47)</f>
        <v/>
      </c>
      <c r="Y55" s="41" t="str">
        <f>IF(Y42=0,IF(Y54="","",CONCATENATE("* ",Y54,"x")),(Y41+Y42-Y44)/Y47)</f>
        <v/>
      </c>
    </row>
    <row r="56" spans="1:25">
      <c r="V56" s="42"/>
    </row>
    <row r="57" spans="1:25" ht="80.25" customHeight="1">
      <c r="A57" s="43" t="s">
        <v>84</v>
      </c>
      <c r="B57" s="44" t="s">
        <v>514</v>
      </c>
      <c r="C57" s="44" t="s">
        <v>514</v>
      </c>
      <c r="D57" s="44" t="s">
        <v>569</v>
      </c>
      <c r="E57" s="44" t="s">
        <v>514</v>
      </c>
      <c r="F57" s="44" t="s">
        <v>514</v>
      </c>
      <c r="G57" s="44" t="s">
        <v>514</v>
      </c>
      <c r="H57" s="44" t="s">
        <v>569</v>
      </c>
      <c r="I57" s="44" t="s">
        <v>514</v>
      </c>
      <c r="J57" s="44" t="s">
        <v>290</v>
      </c>
      <c r="K57" s="44" t="s">
        <v>290</v>
      </c>
      <c r="L57" s="44" t="s">
        <v>301</v>
      </c>
      <c r="M57" s="44"/>
      <c r="N57" s="44"/>
      <c r="O57" s="44"/>
      <c r="P57" s="44"/>
      <c r="Q57" s="44"/>
      <c r="R57" s="44"/>
      <c r="S57" s="44"/>
      <c r="T57" s="44"/>
      <c r="U57" s="44"/>
      <c r="V57" s="44"/>
      <c r="W57" s="44"/>
      <c r="X57" s="44"/>
      <c r="Y57" s="44"/>
    </row>
    <row r="58" spans="1:25">
      <c r="A58" s="45"/>
      <c r="B58" s="42"/>
      <c r="C58" s="42"/>
      <c r="D58" s="42"/>
      <c r="E58" s="42"/>
      <c r="F58" s="42"/>
      <c r="G58" s="42"/>
      <c r="H58" s="42"/>
      <c r="I58" s="42"/>
      <c r="J58" s="42"/>
      <c r="K58" s="42"/>
      <c r="L58" s="42"/>
      <c r="M58" s="42"/>
      <c r="N58" s="42"/>
      <c r="O58" s="42"/>
      <c r="P58" s="42"/>
      <c r="Q58" s="42"/>
      <c r="R58" s="42"/>
    </row>
    <row r="59" spans="1:25">
      <c r="A59" s="45"/>
    </row>
  </sheetData>
  <pageMargins left="0.7" right="0.7" top="0.75" bottom="0.75" header="0.3" footer="0.3"/>
  <pageSetup orientation="portrait" r:id="rId1"/>
  <ignoredErrors>
    <ignoredError sqref="Q46:W48 F46:G47 D46:E47 B46:C46" formulaRange="1"/>
    <ignoredError sqref="L50:L55" evalError="1"/>
    <ignoredError sqref="H24" formula="1"/>
  </ignoredErrors>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L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ColWidth="9.109375" defaultRowHeight="13.8"/>
  <cols>
    <col min="1" max="1" width="22.6640625" style="14" customWidth="1"/>
    <col min="2" max="12" width="10.6640625" style="14" customWidth="1"/>
    <col min="13" max="16384" width="9.109375" style="14"/>
  </cols>
  <sheetData>
    <row r="2" spans="1:12">
      <c r="A2" s="13" t="s">
        <v>44</v>
      </c>
      <c r="B2" s="14" t="s">
        <v>24</v>
      </c>
    </row>
    <row r="3" spans="1:12" s="16" customFormat="1">
      <c r="A3" s="15" t="s">
        <v>45</v>
      </c>
      <c r="B3" s="16" t="s">
        <v>109</v>
      </c>
    </row>
    <row r="4" spans="1:12">
      <c r="A4" s="13" t="s">
        <v>2</v>
      </c>
      <c r="B4" s="14" t="s">
        <v>4</v>
      </c>
    </row>
    <row r="5" spans="1:12">
      <c r="A5" s="13" t="s">
        <v>46</v>
      </c>
    </row>
    <row r="6" spans="1:12">
      <c r="A6" s="13" t="s">
        <v>47</v>
      </c>
      <c r="B6" s="14">
        <v>3</v>
      </c>
    </row>
    <row r="7" spans="1:12">
      <c r="A7" s="13" t="s">
        <v>48</v>
      </c>
      <c r="B7" s="14" t="e">
        <v>#N/A</v>
      </c>
    </row>
    <row r="8" spans="1:12">
      <c r="A8" s="13" t="s">
        <v>347</v>
      </c>
      <c r="B8" s="14" t="e">
        <v>#N/A</v>
      </c>
    </row>
    <row r="9" spans="1:12">
      <c r="A9" s="17"/>
    </row>
    <row r="10" spans="1:12">
      <c r="A10" s="17" t="s">
        <v>49</v>
      </c>
      <c r="B10" s="18">
        <v>43310</v>
      </c>
      <c r="C10" s="18">
        <v>43219</v>
      </c>
      <c r="D10" s="18">
        <v>43128</v>
      </c>
      <c r="E10" s="18">
        <v>43037</v>
      </c>
      <c r="F10" s="18">
        <v>42946</v>
      </c>
      <c r="G10" s="18">
        <v>42855</v>
      </c>
      <c r="H10" s="18">
        <f>EOMONTH(G10,-3)</f>
        <v>42766</v>
      </c>
      <c r="I10" s="18">
        <f>EOMONTH(H10,-3)</f>
        <v>42674</v>
      </c>
      <c r="J10" s="18">
        <f>EOMONTH(I10,-3)</f>
        <v>42582</v>
      </c>
      <c r="K10" s="18">
        <f>EOMONTH(J10,-3)</f>
        <v>42490</v>
      </c>
      <c r="L10" s="18">
        <f>EOMONTH(K10,-3)</f>
        <v>42400</v>
      </c>
    </row>
    <row r="12" spans="1:12">
      <c r="A12" s="19" t="s">
        <v>50</v>
      </c>
      <c r="B12" s="20">
        <v>859.7</v>
      </c>
      <c r="C12" s="20">
        <v>723.6</v>
      </c>
      <c r="D12" s="20">
        <f>2862.3-G12-F12-E12</f>
        <v>640.96600000000024</v>
      </c>
      <c r="E12" s="20">
        <v>815.1</v>
      </c>
      <c r="F12" s="20">
        <v>747.33399999999995</v>
      </c>
      <c r="G12" s="20">
        <v>658.9</v>
      </c>
      <c r="H12" s="20">
        <f>2622.494-K12-J12-I12</f>
        <v>545.58500000000026</v>
      </c>
      <c r="I12" s="20">
        <v>734.2</v>
      </c>
      <c r="J12" s="20">
        <v>736.40899999999999</v>
      </c>
      <c r="K12" s="20">
        <v>606.29999999999995</v>
      </c>
      <c r="L12" s="20"/>
    </row>
    <row r="13" spans="1:12" s="21" customFormat="1">
      <c r="A13" s="21" t="s">
        <v>51</v>
      </c>
      <c r="B13" s="21">
        <f t="shared" ref="B13:G13" si="0">+B12/F12-1</f>
        <v>0.15035579807689747</v>
      </c>
      <c r="C13" s="21">
        <f t="shared" si="0"/>
        <v>9.8193959629685912E-2</v>
      </c>
      <c r="D13" s="21">
        <f t="shared" si="0"/>
        <v>0.17482335474765609</v>
      </c>
      <c r="E13" s="21">
        <f t="shared" si="0"/>
        <v>0.11018795968400985</v>
      </c>
      <c r="F13" s="21">
        <f t="shared" si="0"/>
        <v>1.4835505812666572E-2</v>
      </c>
      <c r="G13" s="21">
        <f t="shared" si="0"/>
        <v>8.675573148606297E-2</v>
      </c>
    </row>
    <row r="14" spans="1:12" s="24" customFormat="1">
      <c r="A14" s="22" t="s">
        <v>52</v>
      </c>
      <c r="B14" s="23" t="s">
        <v>3</v>
      </c>
      <c r="C14" s="23" t="s">
        <v>3</v>
      </c>
      <c r="D14" s="23" t="s">
        <v>3</v>
      </c>
      <c r="E14" s="23" t="s">
        <v>3</v>
      </c>
      <c r="F14" s="23" t="s">
        <v>3</v>
      </c>
      <c r="G14" s="23" t="s">
        <v>3</v>
      </c>
      <c r="H14" s="23"/>
      <c r="I14" s="23"/>
      <c r="J14" s="23"/>
      <c r="K14" s="22"/>
      <c r="L14" s="22"/>
    </row>
    <row r="16" spans="1:12" s="17" customFormat="1">
      <c r="A16" s="25" t="s">
        <v>53</v>
      </c>
      <c r="B16" s="26">
        <f>75+1.2</f>
        <v>76.2</v>
      </c>
      <c r="C16" s="26">
        <f>50.4+1.3</f>
        <v>51.699999999999996</v>
      </c>
      <c r="D16" s="26">
        <f>195.8-G16-F16-E16</f>
        <v>42.600000000000009</v>
      </c>
      <c r="E16" s="26">
        <v>52.7</v>
      </c>
      <c r="F16" s="26">
        <f>57.2+0.8</f>
        <v>58</v>
      </c>
      <c r="G16" s="26">
        <f>41.8+0.7</f>
        <v>42.5</v>
      </c>
      <c r="H16" s="26">
        <f>H22-H21-H20-H19</f>
        <v>40.224000000000004</v>
      </c>
      <c r="I16" s="26">
        <v>69.599999999999994</v>
      </c>
      <c r="J16" s="26">
        <f>103.857-K16</f>
        <v>62.957000000000001</v>
      </c>
      <c r="K16" s="26">
        <v>40.9</v>
      </c>
      <c r="L16" s="26"/>
    </row>
    <row r="17" spans="1:12" s="21" customFormat="1">
      <c r="A17" s="21" t="s">
        <v>54</v>
      </c>
      <c r="B17" s="21">
        <f t="shared" ref="B17:I17" si="1">+B16/B12</f>
        <v>8.8635570547865528E-2</v>
      </c>
      <c r="C17" s="21">
        <f t="shared" si="1"/>
        <v>7.1448313985627412E-2</v>
      </c>
      <c r="D17" s="21">
        <f t="shared" si="1"/>
        <v>6.6462183641566003E-2</v>
      </c>
      <c r="E17" s="21">
        <f t="shared" si="1"/>
        <v>6.4654643602012021E-2</v>
      </c>
      <c r="F17" s="21">
        <f t="shared" si="1"/>
        <v>7.7609208198743812E-2</v>
      </c>
      <c r="G17" s="21">
        <f t="shared" si="1"/>
        <v>6.4501441796934289E-2</v>
      </c>
      <c r="H17" s="21">
        <f t="shared" si="1"/>
        <v>7.3726367110532709E-2</v>
      </c>
      <c r="I17" s="21">
        <f t="shared" si="1"/>
        <v>9.4797058022337219E-2</v>
      </c>
      <c r="J17" s="21">
        <f>+J16/J12</f>
        <v>8.5491893770988675E-2</v>
      </c>
      <c r="K17" s="21">
        <f>+K16/K12</f>
        <v>6.7458353950189676E-2</v>
      </c>
    </row>
    <row r="18" spans="1:12" s="24" customFormat="1"/>
    <row r="19" spans="1:12" s="24" customFormat="1">
      <c r="A19" s="19" t="s">
        <v>55</v>
      </c>
      <c r="B19" s="20">
        <v>0</v>
      </c>
      <c r="C19" s="20">
        <v>0</v>
      </c>
      <c r="D19" s="20">
        <v>0</v>
      </c>
      <c r="E19" s="20">
        <v>0</v>
      </c>
      <c r="F19" s="20">
        <v>0</v>
      </c>
      <c r="G19" s="20">
        <v>0</v>
      </c>
      <c r="H19" s="20">
        <v>0</v>
      </c>
      <c r="I19" s="20">
        <v>0</v>
      </c>
      <c r="J19" s="20">
        <v>0</v>
      </c>
      <c r="K19" s="20">
        <v>0</v>
      </c>
      <c r="L19" s="20"/>
    </row>
    <row r="20" spans="1:12" s="24" customFormat="1">
      <c r="A20" s="19" t="s">
        <v>56</v>
      </c>
      <c r="B20" s="20">
        <v>0</v>
      </c>
      <c r="C20" s="20">
        <v>0</v>
      </c>
      <c r="D20" s="20">
        <v>0</v>
      </c>
      <c r="E20" s="20">
        <v>0</v>
      </c>
      <c r="F20" s="20">
        <v>0</v>
      </c>
      <c r="G20" s="20">
        <v>0</v>
      </c>
      <c r="H20" s="20">
        <v>0</v>
      </c>
      <c r="I20" s="20">
        <v>0</v>
      </c>
      <c r="J20" s="20">
        <v>0</v>
      </c>
      <c r="K20" s="20">
        <v>0</v>
      </c>
      <c r="L20" s="20"/>
    </row>
    <row r="21" spans="1:12" s="24" customFormat="1">
      <c r="A21" s="19" t="s">
        <v>57</v>
      </c>
      <c r="B21" s="20">
        <f>0.7-0.1</f>
        <v>0.6</v>
      </c>
      <c r="C21" s="20">
        <f>1.2+0.1</f>
        <v>1.3</v>
      </c>
      <c r="D21" s="20">
        <f>D22-D16-D19-D20</f>
        <v>3.8999999999999915</v>
      </c>
      <c r="E21" s="20">
        <f>E22-E16-E19-E20</f>
        <v>23.899999999999991</v>
      </c>
      <c r="F21" s="20">
        <f>2.4+5-2.5</f>
        <v>4.9000000000000004</v>
      </c>
      <c r="G21" s="20">
        <f>SUM({2.5;0.2;4.6;-2.5})</f>
        <v>4.8</v>
      </c>
      <c r="H21" s="20">
        <v>0</v>
      </c>
      <c r="I21" s="20">
        <f>I22-I16-I19-I20</f>
        <v>3</v>
      </c>
      <c r="J21" s="20">
        <f>J22-J16-J19-J20</f>
        <v>4.7190000000000012</v>
      </c>
      <c r="K21" s="20">
        <f>SUM({0.3;0.9;0.1;5.3;-2.5})</f>
        <v>4.0999999999999996</v>
      </c>
      <c r="L21" s="20"/>
    </row>
    <row r="22" spans="1:12" s="17" customFormat="1">
      <c r="A22" s="17" t="s">
        <v>58</v>
      </c>
      <c r="B22" s="27">
        <f>SUM(B16,B19:B21)</f>
        <v>76.8</v>
      </c>
      <c r="C22" s="27">
        <f>SUM(C16,C19:C21)</f>
        <v>52.999999999999993</v>
      </c>
      <c r="D22" s="27">
        <f>233.3-G22-F22-E22</f>
        <v>46.5</v>
      </c>
      <c r="E22" s="27">
        <v>76.599999999999994</v>
      </c>
      <c r="F22" s="27">
        <f>SUM(F16,F19:F21)</f>
        <v>62.9</v>
      </c>
      <c r="G22" s="27">
        <f>SUM(G16,G19:G21)</f>
        <v>47.3</v>
      </c>
      <c r="H22" s="27">
        <f>H47-I22-J22-K22</f>
        <v>40.224000000000004</v>
      </c>
      <c r="I22" s="27">
        <v>72.599999999999994</v>
      </c>
      <c r="J22" s="27">
        <f>112.676-K22</f>
        <v>67.676000000000002</v>
      </c>
      <c r="K22" s="27">
        <f>SUM(K16,K19:K21)</f>
        <v>45</v>
      </c>
      <c r="L22" s="27"/>
    </row>
    <row r="23" spans="1:12" s="17" customFormat="1">
      <c r="B23" s="27"/>
      <c r="C23" s="27"/>
      <c r="D23" s="27"/>
      <c r="E23" s="27"/>
      <c r="F23" s="27"/>
      <c r="G23" s="27"/>
      <c r="H23" s="27"/>
      <c r="I23" s="27"/>
      <c r="J23" s="27"/>
      <c r="K23" s="27"/>
      <c r="L23" s="27"/>
    </row>
    <row r="24" spans="1:12" s="17" customFormat="1">
      <c r="A24" s="17" t="s">
        <v>59</v>
      </c>
      <c r="B24" s="27">
        <f t="shared" ref="B24:I24" si="2">SUM(B22:E22)</f>
        <v>252.89999999999998</v>
      </c>
      <c r="C24" s="27">
        <f t="shared" si="2"/>
        <v>239</v>
      </c>
      <c r="D24" s="27">
        <f t="shared" si="2"/>
        <v>233.3</v>
      </c>
      <c r="E24" s="27">
        <f t="shared" si="2"/>
        <v>227.024</v>
      </c>
      <c r="F24" s="27">
        <f t="shared" si="2"/>
        <v>223.02399999999997</v>
      </c>
      <c r="G24" s="27">
        <f t="shared" si="2"/>
        <v>227.8</v>
      </c>
      <c r="H24" s="27">
        <f t="shared" si="2"/>
        <v>225.5</v>
      </c>
      <c r="I24" s="27">
        <f t="shared" si="2"/>
        <v>185.27600000000001</v>
      </c>
      <c r="J24" s="27">
        <f>SUM(J22:L22)</f>
        <v>112.676</v>
      </c>
      <c r="K24" s="27">
        <f>SUM(K22:L22)</f>
        <v>45</v>
      </c>
      <c r="L24" s="27"/>
    </row>
    <row r="25" spans="1:12" s="24" customFormat="1">
      <c r="A25" s="19" t="s">
        <v>60</v>
      </c>
      <c r="B25" s="28">
        <v>0</v>
      </c>
      <c r="C25" s="28">
        <v>0</v>
      </c>
      <c r="D25" s="28">
        <v>0</v>
      </c>
      <c r="E25" s="28">
        <v>0</v>
      </c>
      <c r="F25" s="28">
        <v>0</v>
      </c>
      <c r="G25" s="28">
        <v>0.20000000000000004</v>
      </c>
      <c r="H25" s="28">
        <v>0.20000000000000004</v>
      </c>
      <c r="I25" s="28">
        <v>0</v>
      </c>
      <c r="J25" s="28">
        <v>0</v>
      </c>
      <c r="K25" s="28">
        <v>0</v>
      </c>
      <c r="L25" s="28"/>
    </row>
    <row r="26" spans="1:12" s="24" customFormat="1">
      <c r="A26" s="19" t="s">
        <v>61</v>
      </c>
      <c r="B26" s="29">
        <v>0</v>
      </c>
      <c r="C26" s="29">
        <v>0</v>
      </c>
      <c r="D26" s="29">
        <v>0</v>
      </c>
      <c r="E26" s="29">
        <v>0</v>
      </c>
      <c r="F26" s="29">
        <v>0</v>
      </c>
      <c r="G26" s="29">
        <v>0</v>
      </c>
      <c r="H26" s="29">
        <v>0</v>
      </c>
      <c r="I26" s="29">
        <v>0</v>
      </c>
      <c r="J26" s="29">
        <v>0</v>
      </c>
      <c r="K26" s="29">
        <v>0</v>
      </c>
      <c r="L26" s="30"/>
    </row>
    <row r="27" spans="1:12" s="32" customFormat="1">
      <c r="A27" s="17" t="s">
        <v>62</v>
      </c>
      <c r="B27" s="27">
        <f t="shared" ref="B27:C27" si="3">SUM(B24:B26)</f>
        <v>252.89999999999998</v>
      </c>
      <c r="C27" s="27">
        <f t="shared" si="3"/>
        <v>239</v>
      </c>
      <c r="D27" s="27">
        <f t="shared" ref="D27:K27" si="4">SUM(D24:D26)</f>
        <v>233.3</v>
      </c>
      <c r="E27" s="27">
        <f t="shared" si="4"/>
        <v>227.024</v>
      </c>
      <c r="F27" s="27">
        <f t="shared" si="4"/>
        <v>223.02399999999997</v>
      </c>
      <c r="G27" s="27">
        <f t="shared" si="4"/>
        <v>228</v>
      </c>
      <c r="H27" s="27">
        <f t="shared" si="4"/>
        <v>225.7</v>
      </c>
      <c r="I27" s="27">
        <f t="shared" si="4"/>
        <v>185.27600000000001</v>
      </c>
      <c r="J27" s="27">
        <f t="shared" si="4"/>
        <v>112.676</v>
      </c>
      <c r="K27" s="27">
        <f t="shared" si="4"/>
        <v>45</v>
      </c>
      <c r="L27" s="31"/>
    </row>
    <row r="28" spans="1:12" s="24" customFormat="1"/>
    <row r="29" spans="1:12" s="17" customFormat="1">
      <c r="A29" s="17" t="s">
        <v>58</v>
      </c>
      <c r="B29" s="27">
        <f t="shared" ref="B29:C29" si="5">B22</f>
        <v>76.8</v>
      </c>
      <c r="C29" s="27">
        <f t="shared" si="5"/>
        <v>52.999999999999993</v>
      </c>
      <c r="D29" s="27">
        <f t="shared" ref="D29:K29" si="6">D22</f>
        <v>46.5</v>
      </c>
      <c r="E29" s="27">
        <f t="shared" si="6"/>
        <v>76.599999999999994</v>
      </c>
      <c r="F29" s="27">
        <f t="shared" si="6"/>
        <v>62.9</v>
      </c>
      <c r="G29" s="27">
        <f t="shared" si="6"/>
        <v>47.3</v>
      </c>
      <c r="H29" s="27">
        <f t="shared" si="6"/>
        <v>40.224000000000004</v>
      </c>
      <c r="I29" s="27">
        <f t="shared" si="6"/>
        <v>72.599999999999994</v>
      </c>
      <c r="J29" s="27">
        <f t="shared" si="6"/>
        <v>67.676000000000002</v>
      </c>
      <c r="K29" s="27">
        <f t="shared" si="6"/>
        <v>45</v>
      </c>
      <c r="L29" s="27"/>
    </row>
    <row r="30" spans="1:12" s="33" customFormat="1">
      <c r="A30" s="20" t="s">
        <v>63</v>
      </c>
      <c r="B30" s="20">
        <v>-15.6</v>
      </c>
      <c r="C30" s="20">
        <v>-32.9</v>
      </c>
      <c r="D30" s="20">
        <f>-23.3-44.9-G30-F30-E30</f>
        <v>-22.200000000000003</v>
      </c>
      <c r="E30" s="20">
        <f>-23.3-22.7-G30-F30</f>
        <v>-46</v>
      </c>
      <c r="F30" s="20">
        <v>0</v>
      </c>
      <c r="G30" s="20">
        <v>0</v>
      </c>
      <c r="H30" s="20">
        <f>-103.8-K30-J30-I30</f>
        <v>-26.000000000000004</v>
      </c>
      <c r="I30" s="20">
        <f>-77.8-K30-J30</f>
        <v>-25.937999999999999</v>
      </c>
      <c r="J30" s="20">
        <f>-51.862-K30</f>
        <v>-25.931000000000001</v>
      </c>
      <c r="K30" s="20">
        <v>-25.931000000000001</v>
      </c>
      <c r="L30" s="20"/>
    </row>
    <row r="31" spans="1:12" s="33" customFormat="1">
      <c r="A31" s="20" t="s">
        <v>64</v>
      </c>
      <c r="B31" s="20">
        <v>-0.2</v>
      </c>
      <c r="C31" s="20">
        <v>-0.1</v>
      </c>
      <c r="D31" s="20">
        <f>-0.3-0.2-G31-F31-E31</f>
        <v>-9.9999999999999978E-2</v>
      </c>
      <c r="E31" s="20">
        <f>-0.3-0.1-G31-F31</f>
        <v>-0.14000000000000001</v>
      </c>
      <c r="F31" s="20">
        <f>-0.26-G31</f>
        <v>-0.189</v>
      </c>
      <c r="G31" s="20">
        <v>-7.0999999999999994E-2</v>
      </c>
      <c r="H31" s="20">
        <f>-0.4-K31-J31-I31</f>
        <v>0</v>
      </c>
      <c r="I31" s="20">
        <f>-0.4-K31-J31</f>
        <v>-0.21300000000000002</v>
      </c>
      <c r="J31" s="20">
        <f>-0.187-K31</f>
        <v>-0.121</v>
      </c>
      <c r="K31" s="20">
        <v>-6.6000000000000003E-2</v>
      </c>
      <c r="L31" s="20"/>
    </row>
    <row r="32" spans="1:12" s="33" customFormat="1">
      <c r="A32" s="20" t="s">
        <v>65</v>
      </c>
      <c r="B32" s="20">
        <f>-130-82.2+2+132.7-8.6-0.7-C32</f>
        <v>-66.899999999999991</v>
      </c>
      <c r="C32" s="20">
        <f>-54.5-63.9+0.5+130-30.5-1.5</f>
        <v>-19.900000000000006</v>
      </c>
      <c r="D32" s="20">
        <f>41.6+26.8-3.9-99.6+61.4-1.1-114.5-60.4+1.7+107.3-5-0.5-G32-F32-E32</f>
        <v>43.000000000000028</v>
      </c>
      <c r="E32" s="20">
        <f>-84.8+5.6-3.8+11.4+53.8-114.5-60.4+1.7+107.3-5-0.5-G32-F32</f>
        <v>-8.125</v>
      </c>
      <c r="F32" s="20">
        <f>-122.937-58.04+0.557-0.073+106.469-6.511-0.54-G32</f>
        <v>-60.326000000000036</v>
      </c>
      <c r="G32" s="20">
        <f>-58.94-49.729+0.236-0.073+107.969-0.074-19.997-0.141</f>
        <v>-20.748999999999992</v>
      </c>
      <c r="H32" s="20">
        <f>-17.6-19.3-0.3+22.8+0.5-7.3-K32-J32-I32</f>
        <v>42.699999999999989</v>
      </c>
      <c r="I32" s="20">
        <f>-137.5-28.5-0.6+105-1.3-1-K32-J32</f>
        <v>2.5209999999999866</v>
      </c>
      <c r="J32" s="20">
        <f>-125.63-44.568-0.064-0.175+111.792-7.298-0.478-K32</f>
        <v>-55.520999999999987</v>
      </c>
      <c r="K32" s="20">
        <f>-49.211-40.204-0.367-0.095+100.307-0.037-21.066-0.227</f>
        <v>-10.899999999999993</v>
      </c>
      <c r="L32" s="20"/>
    </row>
    <row r="33" spans="1:12" s="33" customFormat="1">
      <c r="A33" s="20" t="s">
        <v>66</v>
      </c>
      <c r="B33" s="20">
        <v>0</v>
      </c>
      <c r="C33" s="20">
        <v>0</v>
      </c>
      <c r="D33" s="20">
        <v>0</v>
      </c>
      <c r="E33" s="20">
        <v>0</v>
      </c>
      <c r="F33" s="20">
        <v>0</v>
      </c>
      <c r="G33" s="20">
        <v>0</v>
      </c>
      <c r="H33" s="20">
        <v>0</v>
      </c>
      <c r="I33" s="20">
        <v>0</v>
      </c>
      <c r="J33" s="20">
        <v>0</v>
      </c>
      <c r="K33" s="20">
        <v>0</v>
      </c>
      <c r="L33" s="20"/>
    </row>
    <row r="34" spans="1:12" s="33" customFormat="1">
      <c r="A34" s="20" t="s">
        <v>57</v>
      </c>
      <c r="B34" s="29">
        <v>0</v>
      </c>
      <c r="C34" s="29">
        <v>0</v>
      </c>
      <c r="D34" s="29">
        <v>0</v>
      </c>
      <c r="E34" s="29">
        <v>0</v>
      </c>
      <c r="F34" s="29">
        <v>0</v>
      </c>
      <c r="G34" s="29">
        <v>0</v>
      </c>
      <c r="H34" s="29">
        <v>0</v>
      </c>
      <c r="I34" s="29">
        <v>0</v>
      </c>
      <c r="J34" s="29">
        <v>0</v>
      </c>
      <c r="K34" s="29">
        <v>0</v>
      </c>
      <c r="L34" s="29"/>
    </row>
    <row r="35" spans="1:12" s="27" customFormat="1">
      <c r="A35" s="27" t="s">
        <v>67</v>
      </c>
      <c r="B35" s="27">
        <f>-2.8-C35</f>
        <v>-12.8</v>
      </c>
      <c r="C35" s="27">
        <v>10</v>
      </c>
      <c r="D35" s="27">
        <f>94.4+39.4-G35-F35-E35</f>
        <v>68.300000000000011</v>
      </c>
      <c r="E35" s="27">
        <f>39.4+26.1-G35-F35</f>
        <v>36.393000000000001</v>
      </c>
      <c r="F35" s="27">
        <f>29.107-G35</f>
        <v>2.907</v>
      </c>
      <c r="G35" s="27">
        <v>26.2</v>
      </c>
      <c r="H35" s="27">
        <f>218.489-K35-J35-I35</f>
        <v>89.588999999999999</v>
      </c>
      <c r="I35" s="27">
        <f>128.9-K35-J35</f>
        <v>78.852000000000004</v>
      </c>
      <c r="J35" s="27">
        <f>50.048-K35</f>
        <v>13.548000000000002</v>
      </c>
      <c r="K35" s="27">
        <v>36.5</v>
      </c>
    </row>
    <row r="36" spans="1:12" s="33" customFormat="1">
      <c r="A36" s="20" t="s">
        <v>68</v>
      </c>
      <c r="B36" s="29">
        <f>-7.1-C36</f>
        <v>-3.3</v>
      </c>
      <c r="C36" s="29">
        <v>-3.8</v>
      </c>
      <c r="D36" s="29">
        <f>-7.2-5.1-G36-F36-E36</f>
        <v>-3.4999999999999996</v>
      </c>
      <c r="E36" s="29">
        <f>-3.7-5.1-G36-F36</f>
        <v>-3.7189999999999999</v>
      </c>
      <c r="F36" s="29">
        <f>-5.081-G36</f>
        <v>-2.6810000000000005</v>
      </c>
      <c r="G36" s="29">
        <v>-2.4</v>
      </c>
      <c r="H36" s="29">
        <f>-9.731-K36-J36-I36</f>
        <v>-2.6310000000000007</v>
      </c>
      <c r="I36" s="29">
        <f>-7.1-K36-J36</f>
        <v>-3.0370000000000004</v>
      </c>
      <c r="J36" s="29">
        <f>-4.063-K36</f>
        <v>-1.9629999999999996</v>
      </c>
      <c r="K36" s="29">
        <v>-2.1</v>
      </c>
      <c r="L36" s="29"/>
    </row>
    <row r="37" spans="1:12" s="27" customFormat="1">
      <c r="A37" s="27" t="s">
        <v>69</v>
      </c>
      <c r="B37" s="27">
        <f t="shared" ref="B37:I37" si="7">+B35+B36</f>
        <v>-16.100000000000001</v>
      </c>
      <c r="C37" s="27">
        <f t="shared" si="7"/>
        <v>6.2</v>
      </c>
      <c r="D37" s="27">
        <f t="shared" si="7"/>
        <v>64.800000000000011</v>
      </c>
      <c r="E37" s="27">
        <f t="shared" si="7"/>
        <v>32.673999999999999</v>
      </c>
      <c r="F37" s="27">
        <f t="shared" si="7"/>
        <v>0.22599999999999953</v>
      </c>
      <c r="G37" s="27">
        <f t="shared" si="7"/>
        <v>23.8</v>
      </c>
      <c r="H37" s="27">
        <f t="shared" si="7"/>
        <v>86.957999999999998</v>
      </c>
      <c r="I37" s="27">
        <f t="shared" si="7"/>
        <v>75.814999999999998</v>
      </c>
      <c r="J37" s="27">
        <f>+J35+J36</f>
        <v>11.585000000000003</v>
      </c>
      <c r="K37" s="27">
        <f>+K35+K36</f>
        <v>34.4</v>
      </c>
    </row>
    <row r="39" spans="1:12" s="35" customFormat="1">
      <c r="A39" s="34" t="s">
        <v>70</v>
      </c>
      <c r="B39" s="20">
        <v>35</v>
      </c>
      <c r="C39" s="20">
        <v>9.5</v>
      </c>
      <c r="D39" s="20">
        <v>7</v>
      </c>
      <c r="E39" s="20">
        <v>103</v>
      </c>
      <c r="F39" s="20">
        <v>0</v>
      </c>
      <c r="G39" s="20">
        <v>0</v>
      </c>
      <c r="H39" s="20"/>
      <c r="I39" s="20"/>
      <c r="J39" s="20"/>
      <c r="K39" s="20"/>
      <c r="L39" s="20"/>
    </row>
    <row r="40" spans="1:12" s="35" customFormat="1">
      <c r="A40" s="34" t="s">
        <v>71</v>
      </c>
      <c r="B40" s="20">
        <f>1056.1+10.8</f>
        <v>1066.8999999999999</v>
      </c>
      <c r="C40" s="20">
        <f>1058.9+10.8</f>
        <v>1069.7</v>
      </c>
      <c r="D40" s="20">
        <f>1061.5+10.8</f>
        <v>1072.3</v>
      </c>
      <c r="E40" s="20">
        <f>1064.2+10.8</f>
        <v>1075</v>
      </c>
      <c r="F40" s="20">
        <v>1075</v>
      </c>
      <c r="G40" s="20">
        <v>1075</v>
      </c>
      <c r="H40" s="20"/>
      <c r="I40" s="20"/>
      <c r="J40" s="20"/>
      <c r="K40" s="20"/>
      <c r="L40" s="20"/>
    </row>
    <row r="41" spans="1:12" s="35" customFormat="1">
      <c r="A41" s="34" t="s">
        <v>72</v>
      </c>
      <c r="B41" s="20">
        <f>B39+B40+500</f>
        <v>1601.8999999999999</v>
      </c>
      <c r="C41" s="20">
        <f>C39+C40+500</f>
        <v>1579.2</v>
      </c>
      <c r="D41" s="20">
        <f>D39+D40+500</f>
        <v>1579.3</v>
      </c>
      <c r="E41" s="20">
        <f>E39+E40+500</f>
        <v>1678</v>
      </c>
      <c r="F41" s="20">
        <f>F39+F40+475</f>
        <v>1550</v>
      </c>
      <c r="G41" s="20">
        <f>G39+G40+475</f>
        <v>1550</v>
      </c>
      <c r="H41" s="20"/>
      <c r="I41" s="20"/>
      <c r="J41" s="20"/>
      <c r="K41" s="20"/>
      <c r="L41" s="20"/>
    </row>
    <row r="42" spans="1:12" s="35" customFormat="1">
      <c r="A42" s="34" t="s">
        <v>73</v>
      </c>
      <c r="B42" s="36">
        <v>922</v>
      </c>
      <c r="C42" s="36">
        <v>922</v>
      </c>
      <c r="D42" s="36">
        <v>922</v>
      </c>
      <c r="E42" s="36">
        <v>922</v>
      </c>
      <c r="F42" s="36">
        <v>922</v>
      </c>
      <c r="G42" s="36">
        <v>922</v>
      </c>
      <c r="H42" s="36"/>
      <c r="I42" s="36"/>
      <c r="J42" s="36"/>
      <c r="K42" s="36"/>
      <c r="L42" s="36"/>
    </row>
    <row r="43" spans="1:12">
      <c r="B43" s="35"/>
      <c r="C43" s="35"/>
      <c r="D43" s="35"/>
      <c r="E43" s="35"/>
      <c r="F43" s="35"/>
      <c r="G43" s="35"/>
      <c r="H43" s="35"/>
      <c r="I43" s="35"/>
    </row>
    <row r="44" spans="1:12">
      <c r="A44" s="19" t="s">
        <v>74</v>
      </c>
      <c r="B44" s="28">
        <v>0.3</v>
      </c>
      <c r="C44" s="28">
        <v>0.3</v>
      </c>
      <c r="D44" s="28">
        <v>0.1</v>
      </c>
      <c r="E44" s="28">
        <v>0.1</v>
      </c>
      <c r="F44" s="28">
        <v>5.1470000000000002</v>
      </c>
      <c r="G44" s="28">
        <v>6</v>
      </c>
      <c r="H44" s="28">
        <v>6.827</v>
      </c>
      <c r="I44" s="28"/>
      <c r="J44" s="28"/>
      <c r="K44" s="28"/>
      <c r="L44" s="28"/>
    </row>
    <row r="46" spans="1:12">
      <c r="A46" s="14" t="s">
        <v>75</v>
      </c>
      <c r="B46" s="33">
        <f>C46+B12-F12</f>
        <v>3039.3720000000003</v>
      </c>
      <c r="C46" s="33">
        <f>D46+C12-G12</f>
        <v>2927.0060000000003</v>
      </c>
      <c r="D46" s="33">
        <f>E46+D12-H12</f>
        <v>2862.3060000000005</v>
      </c>
      <c r="E46" s="33">
        <f>F46+E12-I12</f>
        <v>2766.9250000000002</v>
      </c>
      <c r="F46" s="33">
        <f>G46+F12-J12</f>
        <v>2686.0250000000001</v>
      </c>
      <c r="G46" s="33">
        <v>2675.1000000000004</v>
      </c>
      <c r="H46" s="33">
        <v>2622.5</v>
      </c>
      <c r="I46" s="33"/>
      <c r="J46" s="33"/>
      <c r="K46" s="33"/>
    </row>
    <row r="47" spans="1:12">
      <c r="A47" s="14" t="s">
        <v>76</v>
      </c>
      <c r="B47" s="33">
        <f>C47+B22-F22</f>
        <v>250.84600000000003</v>
      </c>
      <c r="C47" s="33">
        <f>D47+C22-G22</f>
        <v>236.94600000000003</v>
      </c>
      <c r="D47" s="33">
        <f>E47+D22-H22</f>
        <v>231.24600000000004</v>
      </c>
      <c r="E47" s="33">
        <f>F47+E22-I22</f>
        <v>224.97</v>
      </c>
      <c r="F47" s="33">
        <v>220.97</v>
      </c>
      <c r="G47" s="33">
        <v>227.79999999999998</v>
      </c>
      <c r="H47" s="33">
        <v>225.5</v>
      </c>
      <c r="I47" s="33"/>
      <c r="J47" s="33"/>
      <c r="K47" s="33"/>
    </row>
    <row r="48" spans="1:12">
      <c r="A48" s="14" t="s">
        <v>77</v>
      </c>
      <c r="B48" s="33">
        <f>C48+B37-F37</f>
        <v>-30.280000000000015</v>
      </c>
      <c r="C48" s="33">
        <f>D48+C37-G37</f>
        <v>-13.954000000000015</v>
      </c>
      <c r="D48" s="33">
        <f>E48+D37-H37</f>
        <v>3.6459999999999866</v>
      </c>
      <c r="E48" s="33">
        <f>F48+E37-I37</f>
        <v>25.803999999999974</v>
      </c>
      <c r="F48" s="33">
        <f>G48+F37-J37</f>
        <v>68.944999999999965</v>
      </c>
      <c r="G48" s="33">
        <v>80.303999999999974</v>
      </c>
      <c r="H48" s="33"/>
      <c r="I48" s="33"/>
      <c r="J48" s="33"/>
      <c r="K48" s="33"/>
    </row>
    <row r="50" spans="1:12" s="37" customFormat="1">
      <c r="A50" s="37" t="s">
        <v>78</v>
      </c>
      <c r="B50" s="37">
        <f t="shared" ref="B50:G50" si="8">+SUM(B39:B40)/B47</f>
        <v>4.3927349848113968</v>
      </c>
      <c r="C50" s="37">
        <f t="shared" si="8"/>
        <v>4.5546242603800016</v>
      </c>
      <c r="D50" s="37">
        <f t="shared" si="8"/>
        <v>4.6673239753336269</v>
      </c>
      <c r="E50" s="37">
        <f t="shared" si="8"/>
        <v>5.236253722718585</v>
      </c>
      <c r="F50" s="37">
        <f t="shared" si="8"/>
        <v>4.8649137892021539</v>
      </c>
      <c r="G50" s="37">
        <f t="shared" si="8"/>
        <v>4.7190517998244079</v>
      </c>
    </row>
    <row r="51" spans="1:12" s="37" customFormat="1">
      <c r="A51" s="37" t="s">
        <v>79</v>
      </c>
      <c r="B51" s="37">
        <f t="shared" ref="B51:G51" si="9">+B41/B47</f>
        <v>6.3859898104813295</v>
      </c>
      <c r="C51" s="37">
        <f t="shared" si="9"/>
        <v>6.6648097034767408</v>
      </c>
      <c r="D51" s="37">
        <f t="shared" si="9"/>
        <v>6.8295235377044348</v>
      </c>
      <c r="E51" s="37">
        <f t="shared" si="9"/>
        <v>7.4587722807485441</v>
      </c>
      <c r="F51" s="37">
        <f t="shared" si="9"/>
        <v>7.0145268588496172</v>
      </c>
      <c r="G51" s="37">
        <f t="shared" si="9"/>
        <v>6.8042142230026341</v>
      </c>
    </row>
    <row r="52" spans="1:12" s="37" customFormat="1">
      <c r="A52" s="37" t="s">
        <v>80</v>
      </c>
      <c r="B52" s="37">
        <f t="shared" ref="B52:G52" si="10">+(B41-B44)/B47</f>
        <v>6.3847938575859278</v>
      </c>
      <c r="C52" s="37">
        <f t="shared" si="10"/>
        <v>6.6635435922108828</v>
      </c>
      <c r="D52" s="37">
        <f t="shared" si="10"/>
        <v>6.8290910977919612</v>
      </c>
      <c r="E52" s="37">
        <f t="shared" si="10"/>
        <v>7.4583277770369385</v>
      </c>
      <c r="F52" s="37">
        <f t="shared" si="10"/>
        <v>6.9912341041770381</v>
      </c>
      <c r="G52" s="37">
        <f t="shared" si="10"/>
        <v>6.7778753292361724</v>
      </c>
    </row>
    <row r="53" spans="1:12" s="38" customFormat="1">
      <c r="A53" s="38" t="s">
        <v>81</v>
      </c>
      <c r="B53" s="38">
        <f t="shared" ref="B53:G53" si="11">+B48/B41</f>
        <v>-1.8902553218053574E-2</v>
      </c>
      <c r="C53" s="38">
        <f t="shared" si="11"/>
        <v>-8.8361195542046699E-3</v>
      </c>
      <c r="D53" s="38">
        <f t="shared" si="11"/>
        <v>2.308617742037603E-3</v>
      </c>
      <c r="E53" s="38">
        <f t="shared" si="11"/>
        <v>1.5377830750893906E-2</v>
      </c>
      <c r="F53" s="38">
        <f t="shared" si="11"/>
        <v>4.44806451612903E-2</v>
      </c>
      <c r="G53" s="38">
        <f t="shared" si="11"/>
        <v>5.1809032258064498E-2</v>
      </c>
    </row>
    <row r="54" spans="1:12" s="38" customFormat="1">
      <c r="A54" s="39" t="s">
        <v>82</v>
      </c>
      <c r="B54" s="40"/>
      <c r="C54" s="40"/>
      <c r="D54" s="40"/>
      <c r="E54" s="40"/>
      <c r="F54" s="40"/>
      <c r="G54" s="40"/>
      <c r="H54" s="40"/>
      <c r="I54" s="40"/>
      <c r="J54" s="40"/>
      <c r="K54" s="40"/>
      <c r="L54" s="39"/>
    </row>
    <row r="55" spans="1:12" s="38" customFormat="1">
      <c r="A55" s="38" t="s">
        <v>83</v>
      </c>
      <c r="B55" s="41">
        <f>IF(B42=0,IF(B54="","","*"&amp;TEXT(B54,"0.0x")),(B41+B42-B44)/B47)</f>
        <v>10.060355756121282</v>
      </c>
      <c r="C55" s="41">
        <f>IF(C42=0,IF(C54="","","*"&amp;TEXT(C54,"0.0x")),(C41+C42-C44)/C47)</f>
        <v>10.554725549281269</v>
      </c>
      <c r="D55" s="41">
        <f>IF(D42=0,IF(D54="","","*"&amp;TEXT(D54,"0.0x")),(D41+D42-D44)/D47)</f>
        <v>10.816187090803732</v>
      </c>
      <c r="E55" s="41">
        <f t="shared" ref="E55:K55" si="12">IF(E42=0,IF(E54="","","*"&amp;TEXT(E54,"0.0x")),(E41+E42-E44)/E47)</f>
        <v>11.556651998044185</v>
      </c>
      <c r="F55" s="41">
        <f t="shared" si="12"/>
        <v>11.163746209892746</v>
      </c>
      <c r="G55" s="41">
        <f t="shared" si="12"/>
        <v>10.825285338015805</v>
      </c>
      <c r="H55" s="41" t="str">
        <f t="shared" si="12"/>
        <v/>
      </c>
      <c r="I55" s="41" t="str">
        <f t="shared" si="12"/>
        <v/>
      </c>
      <c r="J55" s="41" t="str">
        <f t="shared" si="12"/>
        <v/>
      </c>
      <c r="K55" s="41" t="str">
        <f t="shared" si="12"/>
        <v/>
      </c>
      <c r="L55" s="41" t="str">
        <f>IF(L42=0,IF(L54="","",CONCATENATE("* ",L54,"x")),(L41+L42-L44)/L47)</f>
        <v/>
      </c>
    </row>
    <row r="56" spans="1:12">
      <c r="K56" s="42"/>
    </row>
    <row r="57" spans="1:12" ht="80.25" customHeight="1">
      <c r="A57" s="43" t="s">
        <v>84</v>
      </c>
      <c r="B57" s="44"/>
      <c r="C57" s="44"/>
      <c r="D57" s="44"/>
      <c r="E57" s="44"/>
      <c r="F57" s="44" t="s">
        <v>197</v>
      </c>
      <c r="G57" s="44" t="s">
        <v>90</v>
      </c>
      <c r="H57" s="44"/>
      <c r="I57" s="44"/>
      <c r="J57" s="44"/>
      <c r="K57" s="44"/>
      <c r="L57" s="44"/>
    </row>
    <row r="58" spans="1:12">
      <c r="A58" s="45"/>
      <c r="B58" s="42"/>
      <c r="C58" s="42"/>
      <c r="D58" s="42"/>
      <c r="E58" s="42"/>
      <c r="F58" s="42"/>
      <c r="G58" s="42"/>
    </row>
    <row r="59" spans="1:12">
      <c r="A59" s="45"/>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2:W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8" width="10.6640625" style="14" customWidth="1"/>
    <col min="19" max="19" width="9.109375" style="14"/>
    <col min="20" max="20" width="11.88671875" style="14" bestFit="1" customWidth="1"/>
    <col min="21" max="21" width="10.88671875" style="14" bestFit="1" customWidth="1"/>
    <col min="22" max="22" width="12.44140625" style="14" bestFit="1" customWidth="1"/>
    <col min="23" max="23" width="10.88671875" style="14" bestFit="1" customWidth="1"/>
    <col min="24" max="16384" width="9.109375" style="14"/>
  </cols>
  <sheetData>
    <row r="2" spans="1:21">
      <c r="A2" s="13" t="s">
        <v>44</v>
      </c>
      <c r="B2" s="14" t="s">
        <v>206</v>
      </c>
    </row>
    <row r="3" spans="1:21" s="16" customFormat="1">
      <c r="A3" s="15" t="s">
        <v>45</v>
      </c>
      <c r="B3" s="16" t="s">
        <v>205</v>
      </c>
    </row>
    <row r="4" spans="1:21">
      <c r="A4" s="13" t="s">
        <v>2</v>
      </c>
      <c r="B4" s="14" t="s">
        <v>4</v>
      </c>
    </row>
    <row r="5" spans="1:21">
      <c r="A5" s="13" t="s">
        <v>46</v>
      </c>
    </row>
    <row r="6" spans="1:21">
      <c r="A6" s="13" t="s">
        <v>47</v>
      </c>
      <c r="B6" s="14">
        <v>4</v>
      </c>
    </row>
    <row r="7" spans="1:21">
      <c r="A7" s="13" t="s">
        <v>48</v>
      </c>
      <c r="B7" s="14" t="s">
        <v>459</v>
      </c>
    </row>
    <row r="8" spans="1:21">
      <c r="A8" s="13" t="s">
        <v>347</v>
      </c>
      <c r="B8" s="14" t="s">
        <v>384</v>
      </c>
    </row>
    <row r="9" spans="1:21">
      <c r="A9" s="17"/>
    </row>
    <row r="10" spans="1:21">
      <c r="A10" s="17" t="s">
        <v>49</v>
      </c>
      <c r="B10" s="18">
        <v>44196</v>
      </c>
      <c r="C10" s="18">
        <v>44104</v>
      </c>
      <c r="D10" s="18">
        <v>44012</v>
      </c>
      <c r="E10" s="18">
        <v>43921</v>
      </c>
      <c r="F10" s="18">
        <v>43830</v>
      </c>
      <c r="G10" s="18">
        <v>43736</v>
      </c>
      <c r="H10" s="18">
        <v>43646</v>
      </c>
      <c r="I10" s="18">
        <v>43555</v>
      </c>
      <c r="J10" s="18">
        <v>43463</v>
      </c>
      <c r="K10" s="18">
        <v>43372</v>
      </c>
      <c r="L10" s="18">
        <v>43281</v>
      </c>
      <c r="M10" s="18">
        <v>43190</v>
      </c>
      <c r="N10" s="18">
        <v>43100</v>
      </c>
      <c r="O10" s="18">
        <v>43008</v>
      </c>
      <c r="P10" s="18">
        <f t="shared" ref="P10:R10" si="0">EOMONTH(O10,-3)</f>
        <v>42916</v>
      </c>
      <c r="Q10" s="18">
        <f t="shared" si="0"/>
        <v>42825</v>
      </c>
      <c r="R10" s="18">
        <f t="shared" si="0"/>
        <v>42735</v>
      </c>
    </row>
    <row r="12" spans="1:21">
      <c r="A12" s="19" t="s">
        <v>50</v>
      </c>
      <c r="B12" s="20">
        <f>548.973208-C12-D12-E12</f>
        <v>148.59073199999997</v>
      </c>
      <c r="C12" s="20">
        <v>140.33905799999999</v>
      </c>
      <c r="D12" s="20">
        <v>122.229623</v>
      </c>
      <c r="E12" s="20">
        <v>137.813795</v>
      </c>
      <c r="F12" s="20">
        <v>132.79078699999999</v>
      </c>
      <c r="G12" s="20">
        <v>144.323928</v>
      </c>
      <c r="H12" s="20">
        <v>154.20660000000001</v>
      </c>
      <c r="I12" s="20">
        <v>133.97087200000001</v>
      </c>
      <c r="J12" s="20">
        <v>128.12048100000001</v>
      </c>
      <c r="K12" s="20">
        <v>125.376446</v>
      </c>
      <c r="L12" s="20">
        <f>121.305258</f>
        <v>121.30525799999999</v>
      </c>
      <c r="M12" s="20">
        <v>109.92873899999999</v>
      </c>
      <c r="N12" s="20">
        <f>386.25928-Q12-P12-O12</f>
        <v>106.20781499999997</v>
      </c>
      <c r="O12" s="20">
        <v>97.434625999999994</v>
      </c>
      <c r="P12" s="20">
        <v>97.016839000000004</v>
      </c>
      <c r="Q12" s="20">
        <v>85.6</v>
      </c>
      <c r="R12" s="20">
        <v>73.599999999999994</v>
      </c>
    </row>
    <row r="13" spans="1:21" s="21" customFormat="1">
      <c r="A13" s="21" t="s">
        <v>51</v>
      </c>
      <c r="B13" s="21">
        <f t="shared" ref="B13" si="1">+B12/F12-1</f>
        <v>0.11898374395506806</v>
      </c>
      <c r="C13" s="151">
        <v>-4.5999999999999999E-2</v>
      </c>
      <c r="D13" s="151">
        <v>-0.224</v>
      </c>
      <c r="E13" s="151">
        <f>137.8/145.6-1</f>
        <v>-5.3571428571428492E-2</v>
      </c>
      <c r="F13" s="151">
        <f>132.8/145.3-1</f>
        <v>-8.6028905712319359E-2</v>
      </c>
      <c r="G13" s="21">
        <f t="shared" ref="G13:N13" si="2">+G12/K12-1</f>
        <v>0.1511247335883168</v>
      </c>
      <c r="H13" s="21">
        <f t="shared" si="2"/>
        <v>0.27122766599284609</v>
      </c>
      <c r="I13" s="21">
        <f t="shared" si="2"/>
        <v>0.21870652950908509</v>
      </c>
      <c r="J13" s="21">
        <f t="shared" si="2"/>
        <v>0.20631877230503282</v>
      </c>
      <c r="K13" s="21">
        <f t="shared" si="2"/>
        <v>0.28677505263888436</v>
      </c>
      <c r="L13" s="21">
        <f t="shared" si="2"/>
        <v>0.25035261146778853</v>
      </c>
      <c r="M13" s="21">
        <f t="shared" si="2"/>
        <v>0.28421424065420564</v>
      </c>
      <c r="N13" s="21">
        <f t="shared" si="2"/>
        <v>0.44304096467391263</v>
      </c>
    </row>
    <row r="14" spans="1:21" s="24" customFormat="1">
      <c r="A14" s="22" t="s">
        <v>52</v>
      </c>
      <c r="B14" s="129" t="s">
        <v>3</v>
      </c>
      <c r="C14" s="129" t="s">
        <v>3</v>
      </c>
      <c r="D14" s="23" t="s">
        <v>3</v>
      </c>
      <c r="E14" s="23" t="s">
        <v>3</v>
      </c>
      <c r="F14" s="23" t="s">
        <v>3</v>
      </c>
      <c r="G14" s="23" t="s">
        <v>3</v>
      </c>
      <c r="H14" s="23" t="s">
        <v>3</v>
      </c>
      <c r="I14" s="23" t="s">
        <v>3</v>
      </c>
      <c r="J14" s="23" t="s">
        <v>3</v>
      </c>
      <c r="K14" s="23" t="s">
        <v>3</v>
      </c>
      <c r="L14" s="23" t="s">
        <v>3</v>
      </c>
      <c r="M14" s="23" t="s">
        <v>3</v>
      </c>
      <c r="N14" s="23" t="s">
        <v>3</v>
      </c>
      <c r="O14" s="23"/>
      <c r="P14" s="23"/>
      <c r="Q14" s="23"/>
      <c r="R14" s="23"/>
    </row>
    <row r="16" spans="1:21" s="17" customFormat="1">
      <c r="A16" s="25" t="s">
        <v>53</v>
      </c>
      <c r="B16" s="26">
        <v>40.157730999999998</v>
      </c>
      <c r="C16" s="26">
        <v>38.676692000000003</v>
      </c>
      <c r="D16" s="26">
        <v>32.647208999999997</v>
      </c>
      <c r="E16" s="26">
        <v>32.147818999999998</v>
      </c>
      <c r="F16" s="26">
        <v>33.205187000000002</v>
      </c>
      <c r="G16" s="26">
        <v>35.534329</v>
      </c>
      <c r="H16" s="26">
        <v>40.028939000000001</v>
      </c>
      <c r="I16" s="26">
        <v>33.506608</v>
      </c>
      <c r="J16" s="26">
        <v>36.808360999999998</v>
      </c>
      <c r="K16" s="26">
        <v>33.933301999999998</v>
      </c>
      <c r="L16" s="26">
        <f>31.862469</f>
        <v>31.862469000000001</v>
      </c>
      <c r="M16" s="26">
        <v>26.953789</v>
      </c>
      <c r="N16" s="26">
        <v>30.012546</v>
      </c>
      <c r="O16" s="26">
        <v>26.529073</v>
      </c>
      <c r="P16" s="26">
        <f>28.243979</f>
        <v>28.243979</v>
      </c>
      <c r="Q16" s="26">
        <v>24.141249999999999</v>
      </c>
      <c r="R16" s="26">
        <v>22.09883</v>
      </c>
      <c r="T16" s="33"/>
      <c r="U16" s="27"/>
    </row>
    <row r="17" spans="1:22" s="21" customFormat="1">
      <c r="A17" s="21" t="s">
        <v>54</v>
      </c>
      <c r="B17" s="21">
        <f t="shared" ref="B17" si="3">+B16/B12</f>
        <v>0.27025730649203616</v>
      </c>
      <c r="C17" s="21">
        <f t="shared" ref="C17:D17" si="4">+C16/C12</f>
        <v>0.27559463880682455</v>
      </c>
      <c r="D17" s="21">
        <f t="shared" si="4"/>
        <v>0.26709735495134429</v>
      </c>
      <c r="E17" s="21">
        <f t="shared" ref="E17:F17" si="5">+E16/E12</f>
        <v>0.23326996401194813</v>
      </c>
      <c r="F17" s="21">
        <f t="shared" si="5"/>
        <v>0.25005640639813365</v>
      </c>
      <c r="G17" s="21">
        <f t="shared" ref="G17:H17" si="6">+G16/G12</f>
        <v>0.2462123189995217</v>
      </c>
      <c r="H17" s="21">
        <f t="shared" si="6"/>
        <v>0.2595799336733966</v>
      </c>
      <c r="I17" s="21">
        <f t="shared" ref="I17:J17" si="7">+I16/I12</f>
        <v>0.25010367925350219</v>
      </c>
      <c r="J17" s="21">
        <f t="shared" si="7"/>
        <v>0.2872949017417441</v>
      </c>
      <c r="K17" s="21">
        <f t="shared" ref="K17:R17" si="8">+K16/K12</f>
        <v>0.27065133111206546</v>
      </c>
      <c r="L17" s="21">
        <f t="shared" si="8"/>
        <v>0.26266354422987997</v>
      </c>
      <c r="M17" s="21">
        <f t="shared" si="8"/>
        <v>0.24519328835383078</v>
      </c>
      <c r="N17" s="21">
        <f t="shared" si="8"/>
        <v>0.28258321668702074</v>
      </c>
      <c r="O17" s="21">
        <f t="shared" si="8"/>
        <v>0.27227561791020782</v>
      </c>
      <c r="P17" s="21">
        <f t="shared" si="8"/>
        <v>0.29112450262371459</v>
      </c>
      <c r="Q17" s="21">
        <f t="shared" si="8"/>
        <v>0.28202394859813085</v>
      </c>
      <c r="R17" s="21">
        <f t="shared" si="8"/>
        <v>0.30025584239130437</v>
      </c>
    </row>
    <row r="18" spans="1:22" s="24" customFormat="1">
      <c r="T18" s="21"/>
    </row>
    <row r="19" spans="1:22"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row>
    <row r="20" spans="1:22"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row>
    <row r="21" spans="1:22"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row>
    <row r="22" spans="1:22" s="17" customFormat="1">
      <c r="A22" s="17" t="s">
        <v>58</v>
      </c>
      <c r="B22" s="27">
        <f t="shared" ref="B22" si="9">SUM(B16,B19:B21)</f>
        <v>40.157730999999998</v>
      </c>
      <c r="C22" s="27">
        <f t="shared" ref="C22:D22" si="10">SUM(C16,C19:C21)</f>
        <v>38.676692000000003</v>
      </c>
      <c r="D22" s="27">
        <f t="shared" si="10"/>
        <v>32.647208999999997</v>
      </c>
      <c r="E22" s="27">
        <f t="shared" ref="E22:F22" si="11">SUM(E16,E19:E21)</f>
        <v>32.147818999999998</v>
      </c>
      <c r="F22" s="27">
        <f t="shared" si="11"/>
        <v>33.205187000000002</v>
      </c>
      <c r="G22" s="27">
        <f t="shared" ref="G22:H22" si="12">SUM(G16,G19:G21)</f>
        <v>35.534329</v>
      </c>
      <c r="H22" s="27">
        <f t="shared" si="12"/>
        <v>40.028939000000001</v>
      </c>
      <c r="I22" s="27">
        <f t="shared" ref="I22:J22" si="13">SUM(I16,I19:I21)</f>
        <v>33.506608</v>
      </c>
      <c r="J22" s="27">
        <f t="shared" si="13"/>
        <v>36.808360999999998</v>
      </c>
      <c r="K22" s="27">
        <f t="shared" ref="K22:R22" si="14">SUM(K16,K19:K21)</f>
        <v>33.933301999999998</v>
      </c>
      <c r="L22" s="27">
        <f t="shared" si="14"/>
        <v>31.862469000000001</v>
      </c>
      <c r="M22" s="27">
        <f t="shared" si="14"/>
        <v>26.953789</v>
      </c>
      <c r="N22" s="27">
        <f t="shared" si="14"/>
        <v>30.012546</v>
      </c>
      <c r="O22" s="27">
        <f t="shared" si="14"/>
        <v>26.529073</v>
      </c>
      <c r="P22" s="27">
        <f t="shared" si="14"/>
        <v>28.243979</v>
      </c>
      <c r="Q22" s="27">
        <f t="shared" si="14"/>
        <v>24.141249999999999</v>
      </c>
      <c r="R22" s="27">
        <f t="shared" si="14"/>
        <v>22.09883</v>
      </c>
      <c r="T22" s="27"/>
      <c r="U22" s="27"/>
    </row>
    <row r="23" spans="1:22" s="17" customFormat="1">
      <c r="B23" s="21"/>
      <c r="C23" s="21"/>
      <c r="D23" s="21"/>
      <c r="E23" s="21"/>
      <c r="F23" s="21"/>
      <c r="G23" s="21"/>
      <c r="H23" s="21"/>
      <c r="I23" s="21"/>
      <c r="J23" s="21"/>
      <c r="K23" s="21"/>
      <c r="L23" s="27"/>
      <c r="M23" s="27"/>
      <c r="N23" s="27"/>
      <c r="O23" s="27"/>
      <c r="P23" s="27"/>
      <c r="Q23" s="27"/>
      <c r="R23" s="27"/>
      <c r="T23" s="21"/>
    </row>
    <row r="24" spans="1:22" s="17" customFormat="1">
      <c r="A24" s="17" t="s">
        <v>59</v>
      </c>
      <c r="B24" s="27">
        <f t="shared" ref="B24:O24" si="15">SUM(B22:E22)</f>
        <v>143.62945099999999</v>
      </c>
      <c r="C24" s="27">
        <f t="shared" si="15"/>
        <v>136.676907</v>
      </c>
      <c r="D24" s="27">
        <f t="shared" si="15"/>
        <v>133.53454399999998</v>
      </c>
      <c r="E24" s="27">
        <f t="shared" si="15"/>
        <v>140.91627399999999</v>
      </c>
      <c r="F24" s="27">
        <f t="shared" si="15"/>
        <v>142.27506300000002</v>
      </c>
      <c r="G24" s="27">
        <f t="shared" si="15"/>
        <v>145.87823699999998</v>
      </c>
      <c r="H24" s="27">
        <f t="shared" si="15"/>
        <v>144.27721</v>
      </c>
      <c r="I24" s="27">
        <f t="shared" si="15"/>
        <v>136.11073999999999</v>
      </c>
      <c r="J24" s="27">
        <f t="shared" si="15"/>
        <v>129.55792099999999</v>
      </c>
      <c r="K24" s="27">
        <f t="shared" si="15"/>
        <v>122.762106</v>
      </c>
      <c r="L24" s="27">
        <f t="shared" si="15"/>
        <v>115.357877</v>
      </c>
      <c r="M24" s="27">
        <f t="shared" si="15"/>
        <v>111.73938699999999</v>
      </c>
      <c r="N24" s="27">
        <f t="shared" si="15"/>
        <v>108.92684799999999</v>
      </c>
      <c r="O24" s="27">
        <f t="shared" si="15"/>
        <v>101.01313199999998</v>
      </c>
      <c r="P24" s="27"/>
      <c r="Q24" s="27"/>
      <c r="R24" s="27"/>
      <c r="T24" s="87"/>
    </row>
    <row r="25" spans="1:22" s="24" customFormat="1">
      <c r="A25" s="19" t="s">
        <v>60</v>
      </c>
      <c r="B25" s="28">
        <v>0</v>
      </c>
      <c r="C25" s="28">
        <v>0</v>
      </c>
      <c r="D25" s="28">
        <v>0</v>
      </c>
      <c r="E25" s="28">
        <f>F25</f>
        <v>2.2000000000000002</v>
      </c>
      <c r="F25" s="28">
        <f>G25</f>
        <v>2.2000000000000002</v>
      </c>
      <c r="G25" s="28">
        <f>H25</f>
        <v>2.2000000000000002</v>
      </c>
      <c r="H25" s="28">
        <v>2.2000000000000002</v>
      </c>
      <c r="I25" s="28">
        <v>2.2000000000000002</v>
      </c>
      <c r="J25" s="28">
        <f>132-J24</f>
        <v>2.4420790000000068</v>
      </c>
      <c r="K25" s="28">
        <v>0</v>
      </c>
      <c r="L25" s="28">
        <v>0</v>
      </c>
      <c r="M25" s="28">
        <v>0</v>
      </c>
      <c r="N25" s="28">
        <v>0</v>
      </c>
      <c r="O25" s="28">
        <f>O27-O24-O26</f>
        <v>4.9868680000000181</v>
      </c>
      <c r="P25" s="28"/>
      <c r="Q25" s="28"/>
      <c r="R25" s="28"/>
      <c r="U25" s="136"/>
      <c r="V25" s="136"/>
    </row>
    <row r="26" spans="1:22" s="24" customFormat="1">
      <c r="A26" s="19" t="s">
        <v>61</v>
      </c>
      <c r="B26" s="29">
        <v>0</v>
      </c>
      <c r="C26" s="29">
        <v>0</v>
      </c>
      <c r="D26" s="29">
        <v>0</v>
      </c>
      <c r="E26" s="29">
        <f>F26</f>
        <v>-1.2082029999999975</v>
      </c>
      <c r="F26" s="29">
        <f>143.26686-F25-F24</f>
        <v>-1.2082029999999975</v>
      </c>
      <c r="G26" s="29">
        <f>H26</f>
        <v>-1.1772099999999739</v>
      </c>
      <c r="H26" s="29">
        <f>145.3-H25-H24</f>
        <v>-1.1772099999999739</v>
      </c>
      <c r="I26" s="29">
        <f>139.7-I25-I24</f>
        <v>1.3892600000000073</v>
      </c>
      <c r="J26" s="29">
        <f>142-J25-J24</f>
        <v>10</v>
      </c>
      <c r="K26" s="29">
        <v>0</v>
      </c>
      <c r="L26" s="29">
        <v>0</v>
      </c>
      <c r="M26" s="29">
        <v>0</v>
      </c>
      <c r="N26" s="29">
        <v>0</v>
      </c>
      <c r="O26" s="29">
        <v>2.7</v>
      </c>
      <c r="P26" s="29"/>
      <c r="Q26" s="29"/>
      <c r="R26" s="29"/>
      <c r="U26" s="136"/>
      <c r="V26" s="136"/>
    </row>
    <row r="27" spans="1:22" s="32" customFormat="1">
      <c r="A27" s="17" t="s">
        <v>62</v>
      </c>
      <c r="B27" s="27">
        <f t="shared" ref="B27:D27" si="16">B24+B25+B26</f>
        <v>143.62945099999999</v>
      </c>
      <c r="C27" s="27">
        <f t="shared" si="16"/>
        <v>136.676907</v>
      </c>
      <c r="D27" s="27">
        <f t="shared" si="16"/>
        <v>133.53454399999998</v>
      </c>
      <c r="E27" s="27">
        <f t="shared" ref="E27:K27" si="17">E24+E25+E26</f>
        <v>141.90807099999998</v>
      </c>
      <c r="F27" s="27">
        <f t="shared" si="17"/>
        <v>143.26686000000001</v>
      </c>
      <c r="G27" s="27">
        <f t="shared" si="17"/>
        <v>146.901027</v>
      </c>
      <c r="H27" s="27">
        <f t="shared" si="17"/>
        <v>145.30000000000001</v>
      </c>
      <c r="I27" s="27">
        <f t="shared" si="17"/>
        <v>139.69999999999999</v>
      </c>
      <c r="J27" s="27">
        <f t="shared" si="17"/>
        <v>142</v>
      </c>
      <c r="K27" s="27">
        <f t="shared" si="17"/>
        <v>122.762106</v>
      </c>
      <c r="L27" s="27">
        <f>M27+L22-P22</f>
        <v>115.35787599999998</v>
      </c>
      <c r="M27" s="27">
        <f>N27+M22-Q22</f>
        <v>111.73938599999998</v>
      </c>
      <c r="N27" s="27">
        <v>108.926847</v>
      </c>
      <c r="O27" s="27">
        <v>108.7</v>
      </c>
      <c r="P27" s="27"/>
      <c r="Q27" s="27"/>
      <c r="R27" s="27"/>
      <c r="U27" s="139"/>
      <c r="V27" s="139"/>
    </row>
    <row r="28" spans="1:22" s="24" customFormat="1">
      <c r="H28" s="88"/>
      <c r="I28" s="88"/>
      <c r="J28" s="88"/>
      <c r="U28" s="136"/>
      <c r="V28" s="136"/>
    </row>
    <row r="29" spans="1:22" s="17" customFormat="1">
      <c r="A29" s="17" t="s">
        <v>58</v>
      </c>
      <c r="B29" s="27">
        <f t="shared" ref="B29:D29" si="18">B22</f>
        <v>40.157730999999998</v>
      </c>
      <c r="C29" s="27">
        <f t="shared" si="18"/>
        <v>38.676692000000003</v>
      </c>
      <c r="D29" s="27">
        <f t="shared" si="18"/>
        <v>32.647208999999997</v>
      </c>
      <c r="E29" s="27">
        <f t="shared" ref="E29:F29" si="19">E22</f>
        <v>32.147818999999998</v>
      </c>
      <c r="F29" s="27">
        <f t="shared" si="19"/>
        <v>33.205187000000002</v>
      </c>
      <c r="G29" s="27">
        <f t="shared" ref="G29:J29" si="20">G22</f>
        <v>35.534329</v>
      </c>
      <c r="H29" s="27">
        <f t="shared" si="20"/>
        <v>40.028939000000001</v>
      </c>
      <c r="I29" s="27">
        <f t="shared" si="20"/>
        <v>33.506608</v>
      </c>
      <c r="J29" s="27">
        <f t="shared" si="20"/>
        <v>36.808360999999998</v>
      </c>
      <c r="K29" s="27">
        <f t="shared" ref="K29:R29" si="21">K22</f>
        <v>33.933301999999998</v>
      </c>
      <c r="L29" s="27">
        <f t="shared" si="21"/>
        <v>31.862469000000001</v>
      </c>
      <c r="M29" s="27">
        <f t="shared" si="21"/>
        <v>26.953789</v>
      </c>
      <c r="N29" s="27">
        <f t="shared" si="21"/>
        <v>30.012546</v>
      </c>
      <c r="O29" s="27">
        <f t="shared" si="21"/>
        <v>26.529073</v>
      </c>
      <c r="P29" s="27">
        <f t="shared" si="21"/>
        <v>28.243979</v>
      </c>
      <c r="Q29" s="27">
        <f t="shared" si="21"/>
        <v>24.141249999999999</v>
      </c>
      <c r="R29" s="27">
        <f t="shared" si="21"/>
        <v>22.09883</v>
      </c>
      <c r="T29" s="75"/>
      <c r="U29" s="75"/>
      <c r="V29" s="75"/>
    </row>
    <row r="30" spans="1:22" s="33" customFormat="1">
      <c r="A30" s="20" t="s">
        <v>63</v>
      </c>
      <c r="B30" s="20">
        <v>-10.617359</v>
      </c>
      <c r="C30" s="20">
        <v>-7.9979189999999996</v>
      </c>
      <c r="D30" s="20">
        <v>-9.4911499999999993</v>
      </c>
      <c r="E30" s="20">
        <v>-9.0722380000000005</v>
      </c>
      <c r="F30" s="20">
        <v>-9.5211989999999993</v>
      </c>
      <c r="G30" s="20">
        <v>-7.0287879999999996</v>
      </c>
      <c r="H30" s="20">
        <v>-10.384544</v>
      </c>
      <c r="I30" s="20">
        <v>-12.649998</v>
      </c>
      <c r="J30" s="20">
        <v>-6.1064499999999997</v>
      </c>
      <c r="K30" s="20">
        <v>-8.5568539999999995</v>
      </c>
      <c r="L30" s="20">
        <v>-11.680441999999999</v>
      </c>
      <c r="M30" s="20">
        <v>-2.4013399999999998</v>
      </c>
      <c r="N30" s="20">
        <f>-14.633012-Q30-P30-O30</f>
        <v>-11.317671500000001</v>
      </c>
      <c r="O30" s="20">
        <v>-1.1051135000000001</v>
      </c>
      <c r="P30" s="20">
        <v>-1.1051135000000001</v>
      </c>
      <c r="Q30" s="20">
        <v>-1.1051135000000001</v>
      </c>
      <c r="R30" s="20">
        <v>-1.1051135000000001</v>
      </c>
    </row>
    <row r="31" spans="1:22" s="33" customFormat="1">
      <c r="A31" s="20" t="s">
        <v>64</v>
      </c>
      <c r="B31" s="20">
        <v>-0.45228000000000002</v>
      </c>
      <c r="C31" s="20">
        <v>-0.31102099999999999</v>
      </c>
      <c r="D31" s="20">
        <v>-6.9330000000000003E-2</v>
      </c>
      <c r="E31" s="20">
        <v>-0.46848000000000001</v>
      </c>
      <c r="F31" s="20">
        <v>-0.470194</v>
      </c>
      <c r="G31" s="20">
        <v>-0.13028600000000001</v>
      </c>
      <c r="H31" s="20">
        <v>-0.14698700000000001</v>
      </c>
      <c r="I31" s="20">
        <v>-7.8033000000000005E-2</v>
      </c>
      <c r="J31" s="20">
        <v>-0.95128699999999999</v>
      </c>
      <c r="K31" s="20">
        <v>-0.318662</v>
      </c>
      <c r="L31" s="20">
        <f>-0.914343</f>
        <v>-0.91434300000000002</v>
      </c>
      <c r="M31" s="20">
        <v>-6.7224999999999993E-2</v>
      </c>
      <c r="N31" s="20">
        <f>-1.128648-Q31-P31-O31</f>
        <v>-0.42507825000000021</v>
      </c>
      <c r="O31" s="20">
        <v>-0.23452324999999999</v>
      </c>
      <c r="P31" s="20">
        <v>-0.23452324999999999</v>
      </c>
      <c r="Q31" s="20">
        <v>-0.23452324999999999</v>
      </c>
      <c r="R31" s="20">
        <v>-0.23452324999999999</v>
      </c>
    </row>
    <row r="32" spans="1:22" s="33" customFormat="1">
      <c r="A32" s="20" t="s">
        <v>65</v>
      </c>
      <c r="B32" s="20">
        <f>-2.516754-0.07526+2.885548-2.680906-0.063132+0.374359+1.777065+7.617077+2.373379-C32-D32-E32</f>
        <v>-1.0748460000000013</v>
      </c>
      <c r="C32" s="20">
        <f>-7.313496-1.55516+1.689211-0.347785+1.707552+1.359354-0.294449+5.079098-0.652239</f>
        <v>-0.32791400000000004</v>
      </c>
      <c r="D32" s="20">
        <f>10.996294+0.621559+1.189732-0.978773+0.214234-5.481094-0.528153+3.232272+0.833196</f>
        <v>10.099267000000001</v>
      </c>
      <c r="E32" s="20">
        <f>-8.881522+8.096424-1.845722-1.519902-0.165278+5.922331+0.03362-0.661123+0.016041</f>
        <v>0.99486899999999989</v>
      </c>
      <c r="F32" s="20">
        <v>15.957891</v>
      </c>
      <c r="G32" s="20">
        <f>7.422839+0.007214-1.657508-0.300819+7.833095+3.231814-1.591595+7.359008-12.523541</f>
        <v>9.7805070000000018</v>
      </c>
      <c r="H32" s="20">
        <f>-1.171555+1.294185-2.26611+0.477883-3.879619-9.217933+0.470682+2.515956+3.987845</f>
        <v>-7.7886659999999992</v>
      </c>
      <c r="I32" s="20">
        <f>-12.583925+4.055595-0.057761+0.000789+0.015021+4.355245+0.248179-2.121387+0.025324</f>
        <v>-6.0629199999999992</v>
      </c>
      <c r="J32" s="20">
        <v>-2.5115959999999999</v>
      </c>
      <c r="K32" s="20">
        <f>-12.291875-1.897944+2.421786-1.597404+2.180492+2.713538+0.248828+4.538109-3.652445</f>
        <v>-7.3369149999999994</v>
      </c>
      <c r="L32" s="20">
        <f>-1.49643+0.162866-2.611562-2.350751+2.335324-3.515888-0.906099+0.984888-3.652031</f>
        <v>-11.049682999999998</v>
      </c>
      <c r="M32" s="20">
        <f>SUM({-3.875829;-0.609938;-0.960172;2.138291;0.611891;7.540811;0.993474;2.04796;0.028793;0})</f>
        <v>7.9152809999999993</v>
      </c>
      <c r="N32" s="20">
        <f>-8.410937-0.34964-3.85502+6.613259+4.201891-0.073625-O32-P32-Q32</f>
        <v>3.5259279999999991</v>
      </c>
      <c r="O32" s="20">
        <v>-0.3</v>
      </c>
      <c r="P32" s="20">
        <v>-7.5</v>
      </c>
      <c r="Q32" s="20">
        <v>2.4</v>
      </c>
      <c r="R32" s="20">
        <v>-3.9</v>
      </c>
    </row>
    <row r="33" spans="1:23"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row>
    <row r="34" spans="1:23" s="33" customFormat="1">
      <c r="A34" s="20" t="s">
        <v>57</v>
      </c>
      <c r="B34" s="29">
        <f t="shared" ref="B34" si="22">B35-SUM(B29:B33)</f>
        <v>-4.076914999999989</v>
      </c>
      <c r="C34" s="29">
        <f t="shared" ref="C34:D34" si="23">C35-SUM(C29:C33)</f>
        <v>-3.6627820000000035</v>
      </c>
      <c r="D34" s="29">
        <f t="shared" si="23"/>
        <v>-2.9708290000000019</v>
      </c>
      <c r="E34" s="29">
        <f t="shared" ref="E34:R34" si="24">E35-SUM(E29:E33)</f>
        <v>-3.283139000000002</v>
      </c>
      <c r="F34" s="29">
        <f t="shared" si="24"/>
        <v>-7.1910430000000041</v>
      </c>
      <c r="G34" s="29">
        <f t="shared" si="24"/>
        <v>-7.9187170000000044</v>
      </c>
      <c r="H34" s="29">
        <f t="shared" si="24"/>
        <v>-2.3225350000000056</v>
      </c>
      <c r="I34" s="29">
        <f t="shared" si="24"/>
        <v>-3.6072830000000007</v>
      </c>
      <c r="J34" s="29">
        <f t="shared" si="24"/>
        <v>-9.7843029999999978</v>
      </c>
      <c r="K34" s="29">
        <f t="shared" si="24"/>
        <v>-5.2635609999999957</v>
      </c>
      <c r="L34" s="29">
        <f t="shared" si="24"/>
        <v>0.22758999999999574</v>
      </c>
      <c r="M34" s="29">
        <f t="shared" si="24"/>
        <v>-17.248859999999993</v>
      </c>
      <c r="N34" s="29">
        <f t="shared" si="24"/>
        <v>5.3591407500000052</v>
      </c>
      <c r="O34" s="29">
        <f t="shared" si="24"/>
        <v>-6.715451250000001</v>
      </c>
      <c r="P34" s="29">
        <f t="shared" si="24"/>
        <v>-3.2067032500000003</v>
      </c>
      <c r="Q34" s="29">
        <f t="shared" si="24"/>
        <v>-18.801613249999996</v>
      </c>
      <c r="R34" s="29">
        <f t="shared" si="24"/>
        <v>-4.2591932500000009</v>
      </c>
    </row>
    <row r="35" spans="1:23" s="27" customFormat="1">
      <c r="A35" s="27" t="s">
        <v>67</v>
      </c>
      <c r="B35" s="27">
        <f>100.847385-C35-D35-E35</f>
        <v>23.936331000000006</v>
      </c>
      <c r="C35" s="27">
        <v>26.377056</v>
      </c>
      <c r="D35" s="27">
        <v>30.215167000000001</v>
      </c>
      <c r="E35" s="27">
        <v>20.318830999999999</v>
      </c>
      <c r="F35" s="27">
        <v>31.980642</v>
      </c>
      <c r="G35" s="27">
        <f>30.237045</f>
        <v>30.237044999999998</v>
      </c>
      <c r="H35" s="27">
        <f>19.386207</f>
        <v>19.386206999999999</v>
      </c>
      <c r="I35" s="27">
        <v>11.108374</v>
      </c>
      <c r="J35" s="27">
        <v>17.454725</v>
      </c>
      <c r="K35" s="27">
        <v>12.45731</v>
      </c>
      <c r="L35" s="27">
        <v>8.4455910000000003</v>
      </c>
      <c r="M35" s="27">
        <v>15.151645</v>
      </c>
      <c r="N35" s="27">
        <f>67.926489-Q35-P35-O35</f>
        <v>27.154865000000004</v>
      </c>
      <c r="O35" s="27">
        <v>18.173984999999998</v>
      </c>
      <c r="P35" s="27">
        <v>16.197638999999999</v>
      </c>
      <c r="Q35" s="27">
        <v>6.4</v>
      </c>
      <c r="R35" s="27">
        <v>12.6</v>
      </c>
    </row>
    <row r="36" spans="1:23" s="33" customFormat="1">
      <c r="A36" s="20" t="s">
        <v>68</v>
      </c>
      <c r="B36" s="29">
        <f>-6.338091-C36-D36-E36</f>
        <v>-1.4017439999999997</v>
      </c>
      <c r="C36" s="29">
        <v>-1.134795</v>
      </c>
      <c r="D36" s="29">
        <v>-1.969425</v>
      </c>
      <c r="E36" s="29">
        <v>-1.8321270000000001</v>
      </c>
      <c r="F36" s="29">
        <v>-3.0726399999999998</v>
      </c>
      <c r="G36" s="29">
        <v>-2.4899529999999999</v>
      </c>
      <c r="H36" s="29">
        <v>-2.354231</v>
      </c>
      <c r="I36" s="29">
        <v>-0.92568499999999998</v>
      </c>
      <c r="J36" s="29">
        <v>-2.9814669999999999</v>
      </c>
      <c r="K36" s="29">
        <v>-3.8637640000000002</v>
      </c>
      <c r="L36" s="29">
        <v>-2.247757</v>
      </c>
      <c r="M36" s="29">
        <v>-0.98740899999999998</v>
      </c>
      <c r="N36" s="29">
        <f>-2.99481-Q36-P36-O36</f>
        <v>-0.62152400000000008</v>
      </c>
      <c r="O36" s="29">
        <f>-0.610631</f>
        <v>-0.61063100000000003</v>
      </c>
      <c r="P36" s="29">
        <f>-0.662655</f>
        <v>-0.66265499999999999</v>
      </c>
      <c r="Q36" s="29">
        <v>-1.1000000000000001</v>
      </c>
      <c r="R36" s="29">
        <v>-1</v>
      </c>
    </row>
    <row r="37" spans="1:23" s="27" customFormat="1">
      <c r="A37" s="27" t="s">
        <v>69</v>
      </c>
      <c r="B37" s="27">
        <f t="shared" ref="B37:R37" si="25">+B35+B36</f>
        <v>22.534587000000005</v>
      </c>
      <c r="C37" s="27">
        <f t="shared" si="25"/>
        <v>25.242260999999999</v>
      </c>
      <c r="D37" s="27">
        <f t="shared" si="25"/>
        <v>28.245742</v>
      </c>
      <c r="E37" s="27">
        <f t="shared" si="25"/>
        <v>18.486704</v>
      </c>
      <c r="F37" s="27">
        <f t="shared" si="25"/>
        <v>28.908002</v>
      </c>
      <c r="G37" s="27">
        <f t="shared" si="25"/>
        <v>27.747091999999999</v>
      </c>
      <c r="H37" s="27">
        <f t="shared" si="25"/>
        <v>17.031976</v>
      </c>
      <c r="I37" s="27">
        <f t="shared" si="25"/>
        <v>10.182689</v>
      </c>
      <c r="J37" s="27">
        <f t="shared" si="25"/>
        <v>14.473258</v>
      </c>
      <c r="K37" s="27">
        <f t="shared" si="25"/>
        <v>8.5935459999999999</v>
      </c>
      <c r="L37" s="27">
        <f t="shared" si="25"/>
        <v>6.1978340000000003</v>
      </c>
      <c r="M37" s="27">
        <f t="shared" si="25"/>
        <v>14.164236000000001</v>
      </c>
      <c r="N37" s="27">
        <f t="shared" si="25"/>
        <v>26.533341000000004</v>
      </c>
      <c r="O37" s="27">
        <f t="shared" si="25"/>
        <v>17.563353999999997</v>
      </c>
      <c r="P37" s="27">
        <f t="shared" si="25"/>
        <v>15.534983999999998</v>
      </c>
      <c r="Q37" s="27">
        <f t="shared" si="25"/>
        <v>5.3000000000000007</v>
      </c>
      <c r="R37" s="27">
        <f t="shared" si="25"/>
        <v>11.6</v>
      </c>
    </row>
    <row r="38" spans="1:23">
      <c r="B38" s="90"/>
      <c r="C38" s="90"/>
      <c r="D38" s="90"/>
      <c r="E38" s="90"/>
      <c r="F38" s="90"/>
      <c r="G38" s="90"/>
      <c r="T38" s="76"/>
      <c r="U38" s="76"/>
      <c r="V38" s="76"/>
      <c r="W38" s="76"/>
    </row>
    <row r="39" spans="1:23" s="35" customFormat="1">
      <c r="A39" s="34" t="s">
        <v>70</v>
      </c>
      <c r="B39" s="20">
        <f>C39</f>
        <v>0</v>
      </c>
      <c r="C39" s="20">
        <f>D39</f>
        <v>0</v>
      </c>
      <c r="D39" s="20">
        <f>E39</f>
        <v>0</v>
      </c>
      <c r="E39" s="20">
        <v>0</v>
      </c>
      <c r="F39" s="20">
        <f>G39</f>
        <v>0</v>
      </c>
      <c r="G39" s="20">
        <f>H39</f>
        <v>0</v>
      </c>
      <c r="H39" s="20">
        <v>0</v>
      </c>
      <c r="I39" s="20">
        <f>J39</f>
        <v>0</v>
      </c>
      <c r="J39" s="20">
        <v>0</v>
      </c>
      <c r="K39" s="20">
        <v>0</v>
      </c>
      <c r="L39" s="20">
        <v>0</v>
      </c>
      <c r="M39" s="20">
        <v>36.094000000000001</v>
      </c>
      <c r="N39" s="20">
        <v>0</v>
      </c>
      <c r="O39" s="20">
        <v>0</v>
      </c>
      <c r="P39" s="20">
        <v>0</v>
      </c>
      <c r="Q39" s="20">
        <v>0</v>
      </c>
      <c r="R39" s="20">
        <v>0</v>
      </c>
      <c r="T39" s="33"/>
    </row>
    <row r="40" spans="1:23" s="35" customFormat="1">
      <c r="A40" s="34" t="s">
        <v>71</v>
      </c>
      <c r="B40" s="20">
        <f>562.363+73.875</f>
        <v>636.23800000000006</v>
      </c>
      <c r="C40" s="20">
        <f>D40-2.417908</f>
        <v>638.12639999999999</v>
      </c>
      <c r="D40" s="20">
        <f>E40-2.574838</f>
        <v>640.544308</v>
      </c>
      <c r="E40" s="20">
        <f>F40-1.630854</f>
        <v>643.119146</v>
      </c>
      <c r="F40" s="20">
        <f>570.125+74.625</f>
        <v>644.75</v>
      </c>
      <c r="G40" s="20">
        <f>H40</f>
        <v>645</v>
      </c>
      <c r="H40" s="20">
        <v>645</v>
      </c>
      <c r="I40" s="20">
        <f>J40</f>
        <v>543</v>
      </c>
      <c r="J40" s="20">
        <f>468+75</f>
        <v>543</v>
      </c>
      <c r="K40" s="20">
        <f>L40</f>
        <v>470</v>
      </c>
      <c r="L40" s="20">
        <f>M40</f>
        <v>470</v>
      </c>
      <c r="M40" s="20">
        <f>N40</f>
        <v>470</v>
      </c>
      <c r="N40" s="20">
        <f>O40</f>
        <v>470</v>
      </c>
      <c r="O40" s="20">
        <v>470</v>
      </c>
      <c r="P40" s="20">
        <v>0</v>
      </c>
      <c r="Q40" s="20">
        <v>0</v>
      </c>
      <c r="R40" s="20">
        <v>0</v>
      </c>
      <c r="T40" s="33"/>
      <c r="U40" s="33"/>
    </row>
    <row r="41" spans="1:23" s="35" customFormat="1">
      <c r="A41" s="34" t="s">
        <v>72</v>
      </c>
      <c r="B41" s="20">
        <f>B39+B40</f>
        <v>636.23800000000006</v>
      </c>
      <c r="C41" s="20">
        <f>C39+C40</f>
        <v>638.12639999999999</v>
      </c>
      <c r="D41" s="20">
        <f>D39+D40</f>
        <v>640.544308</v>
      </c>
      <c r="E41" s="20">
        <f>E39+E40</f>
        <v>643.119146</v>
      </c>
      <c r="F41" s="20">
        <f>F39+F40</f>
        <v>644.75</v>
      </c>
      <c r="G41" s="20">
        <f>H41</f>
        <v>645</v>
      </c>
      <c r="H41" s="20">
        <f>H39+H40</f>
        <v>645</v>
      </c>
      <c r="I41" s="20">
        <f>J41</f>
        <v>643</v>
      </c>
      <c r="J41" s="20">
        <f t="shared" ref="J41:O41" si="26">J39+J40+100</f>
        <v>643</v>
      </c>
      <c r="K41" s="20">
        <f t="shared" si="26"/>
        <v>570</v>
      </c>
      <c r="L41" s="20">
        <f t="shared" si="26"/>
        <v>570</v>
      </c>
      <c r="M41" s="20">
        <f t="shared" si="26"/>
        <v>606.09400000000005</v>
      </c>
      <c r="N41" s="20">
        <f t="shared" si="26"/>
        <v>570</v>
      </c>
      <c r="O41" s="20">
        <f t="shared" si="26"/>
        <v>570</v>
      </c>
      <c r="P41" s="20">
        <v>0</v>
      </c>
      <c r="Q41" s="20">
        <v>0</v>
      </c>
      <c r="R41" s="20">
        <v>0</v>
      </c>
      <c r="T41" s="33"/>
    </row>
    <row r="42" spans="1:23" s="35" customFormat="1">
      <c r="A42" s="34" t="s">
        <v>73</v>
      </c>
      <c r="B42" s="36">
        <v>1727</v>
      </c>
      <c r="C42" s="36">
        <f>D42</f>
        <v>190</v>
      </c>
      <c r="D42" s="36">
        <f>E42</f>
        <v>190</v>
      </c>
      <c r="E42" s="36">
        <f>F42</f>
        <v>190</v>
      </c>
      <c r="F42" s="36">
        <f>G42</f>
        <v>190</v>
      </c>
      <c r="G42" s="36">
        <f>H42</f>
        <v>190</v>
      </c>
      <c r="H42" s="36">
        <f>I42</f>
        <v>190</v>
      </c>
      <c r="I42" s="36">
        <f>J42</f>
        <v>190</v>
      </c>
      <c r="J42" s="36">
        <v>190</v>
      </c>
      <c r="K42" s="36">
        <v>190</v>
      </c>
      <c r="L42" s="36">
        <v>190</v>
      </c>
      <c r="M42" s="36">
        <v>190</v>
      </c>
      <c r="N42" s="36">
        <v>190</v>
      </c>
      <c r="O42" s="36">
        <v>190</v>
      </c>
      <c r="P42" s="36">
        <v>0</v>
      </c>
      <c r="Q42" s="36">
        <v>0</v>
      </c>
      <c r="R42" s="36">
        <v>0</v>
      </c>
      <c r="T42" s="33"/>
    </row>
    <row r="43" spans="1:23">
      <c r="B43" s="35"/>
      <c r="C43" s="35"/>
      <c r="D43" s="35"/>
      <c r="E43" s="35"/>
      <c r="F43" s="35"/>
      <c r="G43" s="35"/>
      <c r="H43" s="35"/>
      <c r="I43" s="35"/>
      <c r="J43" s="35"/>
      <c r="K43" s="35"/>
      <c r="L43" s="35"/>
      <c r="M43" s="35"/>
      <c r="N43" s="35"/>
      <c r="O43" s="35"/>
      <c r="P43" s="35"/>
      <c r="Q43" s="35"/>
      <c r="T43" s="33"/>
      <c r="V43" s="76"/>
    </row>
    <row r="44" spans="1:23">
      <c r="A44" s="19" t="s">
        <v>74</v>
      </c>
      <c r="B44" s="28">
        <v>45.254655</v>
      </c>
      <c r="C44" s="28">
        <v>39.728599000000003</v>
      </c>
      <c r="D44" s="28">
        <v>56.414228000000001</v>
      </c>
      <c r="E44" s="28">
        <v>31.239246999999999</v>
      </c>
      <c r="F44" s="28">
        <v>19.905598000000001</v>
      </c>
      <c r="G44" s="28">
        <v>11.204986</v>
      </c>
      <c r="H44" s="28">
        <v>15</v>
      </c>
      <c r="I44" s="28">
        <f>16.590824</f>
        <v>16.590824000000001</v>
      </c>
      <c r="J44" s="28">
        <v>4</v>
      </c>
      <c r="K44" s="28">
        <v>5.1595420000000001</v>
      </c>
      <c r="L44" s="28">
        <v>7.078201</v>
      </c>
      <c r="M44" s="28">
        <v>13.644803</v>
      </c>
      <c r="N44" s="28">
        <v>2.946129</v>
      </c>
      <c r="O44" s="28">
        <v>6</v>
      </c>
      <c r="P44" s="28">
        <v>0</v>
      </c>
      <c r="Q44" s="28">
        <v>0</v>
      </c>
      <c r="R44" s="28">
        <v>0</v>
      </c>
      <c r="T44" s="33"/>
      <c r="V44" s="76"/>
    </row>
    <row r="45" spans="1:23">
      <c r="H45" s="33"/>
      <c r="I45" s="33"/>
      <c r="J45" s="33"/>
      <c r="T45" s="33"/>
    </row>
    <row r="46" spans="1:23">
      <c r="A46" s="14" t="s">
        <v>75</v>
      </c>
      <c r="B46" s="58">
        <f t="shared" ref="B46:G46" si="27">SUM(B12:E12)</f>
        <v>548.973208</v>
      </c>
      <c r="C46" s="58">
        <f t="shared" si="27"/>
        <v>533.17326300000002</v>
      </c>
      <c r="D46" s="58">
        <f t="shared" si="27"/>
        <v>537.15813300000002</v>
      </c>
      <c r="E46" s="58">
        <f t="shared" si="27"/>
        <v>569.13510999999994</v>
      </c>
      <c r="F46" s="58">
        <f t="shared" si="27"/>
        <v>565.29218700000001</v>
      </c>
      <c r="G46" s="58">
        <f t="shared" si="27"/>
        <v>560.62188100000003</v>
      </c>
      <c r="H46" s="51">
        <v>583.9</v>
      </c>
      <c r="I46" s="58">
        <f>J46+I12-M12</f>
        <v>578.54213300000004</v>
      </c>
      <c r="J46" s="51">
        <v>554.5</v>
      </c>
      <c r="K46" s="58">
        <f>SUM(K12:N12)</f>
        <v>462.81825799999996</v>
      </c>
      <c r="L46" s="58">
        <f>M46+L12-P12</f>
        <v>489.22497299999986</v>
      </c>
      <c r="M46" s="58">
        <f>N46+M12-Q12</f>
        <v>464.93655399999989</v>
      </c>
      <c r="N46" s="58">
        <f>O46+N12-R12</f>
        <v>440.60781499999996</v>
      </c>
      <c r="O46" s="51">
        <v>408</v>
      </c>
      <c r="P46" s="33"/>
      <c r="Q46" s="33"/>
      <c r="R46" s="33"/>
      <c r="T46" s="33"/>
    </row>
    <row r="47" spans="1:23">
      <c r="A47" s="14" t="s">
        <v>76</v>
      </c>
      <c r="B47" s="58">
        <f t="shared" ref="B47" si="28">B27</f>
        <v>143.62945099999999</v>
      </c>
      <c r="C47" s="58">
        <f t="shared" ref="C47:D47" si="29">C27</f>
        <v>136.676907</v>
      </c>
      <c r="D47" s="58">
        <f t="shared" si="29"/>
        <v>133.53454399999998</v>
      </c>
      <c r="E47" s="58">
        <f t="shared" ref="E47:K47" si="30">E27</f>
        <v>141.90807099999998</v>
      </c>
      <c r="F47" s="58">
        <f t="shared" si="30"/>
        <v>143.26686000000001</v>
      </c>
      <c r="G47" s="58">
        <f t="shared" si="30"/>
        <v>146.901027</v>
      </c>
      <c r="H47" s="58">
        <f t="shared" si="30"/>
        <v>145.30000000000001</v>
      </c>
      <c r="I47" s="58">
        <f t="shared" si="30"/>
        <v>139.69999999999999</v>
      </c>
      <c r="J47" s="58">
        <f t="shared" si="30"/>
        <v>142</v>
      </c>
      <c r="K47" s="58">
        <f t="shared" si="30"/>
        <v>122.762106</v>
      </c>
      <c r="L47" s="58">
        <f>M47+L22-P22</f>
        <v>129.34474499999999</v>
      </c>
      <c r="M47" s="58">
        <f>N47+M22-Q22</f>
        <v>125.72625499999999</v>
      </c>
      <c r="N47" s="58">
        <f>O47+N22-R22</f>
        <v>122.91371599999999</v>
      </c>
      <c r="O47" s="51">
        <v>115</v>
      </c>
      <c r="P47" s="33"/>
      <c r="Q47" s="33"/>
      <c r="R47" s="33"/>
    </row>
    <row r="48" spans="1:23">
      <c r="A48" s="14" t="s">
        <v>77</v>
      </c>
      <c r="B48" s="58">
        <f t="shared" ref="B48:K48" si="31">SUM(B37:E37)</f>
        <v>94.509294000000011</v>
      </c>
      <c r="C48" s="58">
        <f t="shared" si="31"/>
        <v>100.88270899999999</v>
      </c>
      <c r="D48" s="58">
        <f t="shared" si="31"/>
        <v>103.38753999999999</v>
      </c>
      <c r="E48" s="58">
        <f t="shared" si="31"/>
        <v>92.173773999999995</v>
      </c>
      <c r="F48" s="58">
        <f t="shared" si="31"/>
        <v>83.869759000000002</v>
      </c>
      <c r="G48" s="58">
        <f t="shared" si="31"/>
        <v>69.435014999999993</v>
      </c>
      <c r="H48" s="58">
        <f t="shared" si="31"/>
        <v>50.281469000000001</v>
      </c>
      <c r="I48" s="58">
        <f t="shared" si="31"/>
        <v>39.447327000000001</v>
      </c>
      <c r="J48" s="58">
        <f t="shared" si="31"/>
        <v>43.428874</v>
      </c>
      <c r="K48" s="58">
        <f t="shared" si="31"/>
        <v>55.488956999999999</v>
      </c>
      <c r="L48" s="58">
        <f t="shared" ref="L48:M48" si="32">M48+L37-P37</f>
        <v>66.120077000000023</v>
      </c>
      <c r="M48" s="58">
        <f t="shared" si="32"/>
        <v>75.457227000000017</v>
      </c>
      <c r="N48" s="58">
        <f>O48+N37-R37</f>
        <v>66.592991000000012</v>
      </c>
      <c r="O48" s="51">
        <v>51.659649999999999</v>
      </c>
      <c r="P48" s="33"/>
      <c r="Q48" s="33"/>
      <c r="R48" s="33"/>
    </row>
    <row r="49" spans="1:18">
      <c r="B49" s="33"/>
      <c r="C49" s="33"/>
      <c r="D49" s="33"/>
      <c r="E49" s="33"/>
      <c r="F49" s="33"/>
      <c r="G49" s="33"/>
      <c r="H49" s="33"/>
      <c r="I49" s="33"/>
      <c r="J49" s="33"/>
      <c r="K49" s="33"/>
      <c r="L49" s="33"/>
      <c r="M49" s="33"/>
      <c r="N49" s="33"/>
    </row>
    <row r="50" spans="1:18" s="37" customFormat="1">
      <c r="A50" s="37" t="s">
        <v>78</v>
      </c>
      <c r="B50" s="37">
        <f t="shared" ref="B50:C50" si="33">+SUM(B39:B40)/B47</f>
        <v>4.429718247687239</v>
      </c>
      <c r="C50" s="37">
        <f t="shared" si="33"/>
        <v>4.6688677261331355</v>
      </c>
      <c r="D50" s="37">
        <f t="shared" ref="D50:E50" si="34">+SUM(D39:D40)/D47</f>
        <v>4.7968434894269762</v>
      </c>
      <c r="E50" s="37">
        <f t="shared" si="34"/>
        <v>4.5319419922211477</v>
      </c>
      <c r="F50" s="37">
        <f t="shared" ref="F50:G50" si="35">+SUM(F39:F40)/F47</f>
        <v>4.5003429264799966</v>
      </c>
      <c r="G50" s="37">
        <f t="shared" si="35"/>
        <v>4.3907113052381863</v>
      </c>
      <c r="H50" s="37">
        <f t="shared" ref="H50:I50" si="36">+SUM(H39:H40)/H47</f>
        <v>4.4390915347556774</v>
      </c>
      <c r="I50" s="37">
        <f t="shared" si="36"/>
        <v>3.8869005010737299</v>
      </c>
      <c r="J50" s="37">
        <f t="shared" ref="J50:O50" si="37">+SUM(J39:J40)/J47</f>
        <v>3.823943661971831</v>
      </c>
      <c r="K50" s="37">
        <f t="shared" si="37"/>
        <v>3.8285429870354291</v>
      </c>
      <c r="L50" s="37">
        <f t="shared" si="37"/>
        <v>3.6337000007228748</v>
      </c>
      <c r="M50" s="37">
        <f t="shared" si="37"/>
        <v>4.0253644714065491</v>
      </c>
      <c r="N50" s="37">
        <f t="shared" si="37"/>
        <v>3.823820605993232</v>
      </c>
      <c r="O50" s="37">
        <f t="shared" si="37"/>
        <v>4.0869565217391308</v>
      </c>
    </row>
    <row r="51" spans="1:18" s="37" customFormat="1">
      <c r="A51" s="37" t="s">
        <v>79</v>
      </c>
      <c r="B51" s="37">
        <f t="shared" ref="B51:C51" si="38">+B41/B47</f>
        <v>4.429718247687239</v>
      </c>
      <c r="C51" s="37">
        <f t="shared" si="38"/>
        <v>4.6688677261331355</v>
      </c>
      <c r="D51" s="37">
        <f t="shared" ref="D51:E51" si="39">+D41/D47</f>
        <v>4.7968434894269762</v>
      </c>
      <c r="E51" s="37">
        <f t="shared" si="39"/>
        <v>4.5319419922211477</v>
      </c>
      <c r="F51" s="37">
        <f t="shared" ref="F51:G51" si="40">+F41/F47</f>
        <v>4.5003429264799966</v>
      </c>
      <c r="G51" s="37">
        <f t="shared" si="40"/>
        <v>4.3907113052381863</v>
      </c>
      <c r="H51" s="37">
        <f t="shared" ref="H51:I51" si="41">+H41/H47</f>
        <v>4.4390915347556774</v>
      </c>
      <c r="I51" s="37">
        <f t="shared" si="41"/>
        <v>4.6027201145311389</v>
      </c>
      <c r="J51" s="37">
        <f t="shared" ref="J51:O51" si="42">+J41/J47</f>
        <v>4.528169014084507</v>
      </c>
      <c r="K51" s="37">
        <f t="shared" si="42"/>
        <v>4.6431266012982864</v>
      </c>
      <c r="L51" s="37">
        <f t="shared" si="42"/>
        <v>4.406827660451146</v>
      </c>
      <c r="M51" s="37">
        <f t="shared" si="42"/>
        <v>4.8207432886631363</v>
      </c>
      <c r="N51" s="37">
        <f t="shared" si="42"/>
        <v>4.6373994583322178</v>
      </c>
      <c r="O51" s="37">
        <f t="shared" si="42"/>
        <v>4.9565217391304346</v>
      </c>
    </row>
    <row r="52" spans="1:18" s="37" customFormat="1">
      <c r="A52" s="37" t="s">
        <v>80</v>
      </c>
      <c r="B52" s="37">
        <f t="shared" ref="B52:C52" si="43">+(B41-B44)/B47</f>
        <v>4.1146390304033131</v>
      </c>
      <c r="C52" s="37">
        <f t="shared" si="43"/>
        <v>4.3781924403659493</v>
      </c>
      <c r="D52" s="37">
        <f t="shared" ref="D52:E52" si="44">+(D41-D44)/D47</f>
        <v>4.3743743192023787</v>
      </c>
      <c r="E52" s="37">
        <f t="shared" si="44"/>
        <v>4.3118047809979752</v>
      </c>
      <c r="F52" s="37">
        <f t="shared" ref="F52:G52" si="45">+(F41-F44)/F47</f>
        <v>4.3614022251901092</v>
      </c>
      <c r="G52" s="37">
        <f t="shared" si="45"/>
        <v>4.3144355553075888</v>
      </c>
      <c r="H52" s="37">
        <f t="shared" ref="H52:I52" si="46">+(H41-H44)/H47</f>
        <v>4.3358568479008941</v>
      </c>
      <c r="I52" s="37">
        <f t="shared" si="46"/>
        <v>4.4839597423049398</v>
      </c>
      <c r="J52" s="37">
        <f t="shared" ref="J52:O52" si="47">+(J41-J44)/J47</f>
        <v>4.5</v>
      </c>
      <c r="K52" s="37">
        <f t="shared" si="47"/>
        <v>4.6010978175952761</v>
      </c>
      <c r="L52" s="37">
        <f t="shared" si="47"/>
        <v>4.3521041307089829</v>
      </c>
      <c r="M52" s="37">
        <f t="shared" si="47"/>
        <v>4.7122154159447449</v>
      </c>
      <c r="N52" s="37">
        <f t="shared" si="47"/>
        <v>4.6134303758255912</v>
      </c>
      <c r="O52" s="37">
        <f t="shared" si="47"/>
        <v>4.9043478260869566</v>
      </c>
    </row>
    <row r="53" spans="1:18" s="38" customFormat="1">
      <c r="A53" s="38" t="s">
        <v>81</v>
      </c>
      <c r="B53" s="38">
        <f t="shared" ref="B53:C53" si="48">+B48/B41</f>
        <v>0.14854393167336752</v>
      </c>
      <c r="C53" s="38">
        <f t="shared" si="48"/>
        <v>0.15809204728091486</v>
      </c>
      <c r="D53" s="38">
        <f t="shared" ref="D53:E53" si="49">+D48/D41</f>
        <v>0.1614057586786018</v>
      </c>
      <c r="E53" s="38">
        <f t="shared" si="49"/>
        <v>0.1433230134311691</v>
      </c>
      <c r="F53" s="38">
        <f t="shared" ref="F53:G53" si="50">+F48/F41</f>
        <v>0.13008105312136486</v>
      </c>
      <c r="G53" s="38">
        <f t="shared" si="50"/>
        <v>0.10765118604651161</v>
      </c>
      <c r="H53" s="38">
        <f t="shared" ref="H53:I53" si="51">+H48/H41</f>
        <v>7.7955765891472864E-2</v>
      </c>
      <c r="I53" s="38">
        <f t="shared" si="51"/>
        <v>6.1348875583203732E-2</v>
      </c>
      <c r="J53" s="38">
        <f t="shared" ref="J53:O53" si="52">+J48/J41</f>
        <v>6.7541017107309489E-2</v>
      </c>
      <c r="K53" s="38">
        <f t="shared" si="52"/>
        <v>9.7349047368421052E-2</v>
      </c>
      <c r="L53" s="38">
        <f t="shared" si="52"/>
        <v>0.11600013508771934</v>
      </c>
      <c r="M53" s="38">
        <f t="shared" si="52"/>
        <v>0.12449756473418316</v>
      </c>
      <c r="N53" s="38">
        <f t="shared" si="52"/>
        <v>0.11682980877192985</v>
      </c>
      <c r="O53" s="38">
        <f t="shared" si="52"/>
        <v>9.0630964912280704E-2</v>
      </c>
    </row>
    <row r="54" spans="1:18" s="38" customFormat="1">
      <c r="A54" s="39" t="s">
        <v>82</v>
      </c>
      <c r="B54" s="40"/>
      <c r="C54" s="40"/>
      <c r="D54" s="40"/>
      <c r="E54" s="40"/>
      <c r="F54" s="40"/>
      <c r="G54" s="40"/>
      <c r="H54" s="40"/>
      <c r="I54" s="40"/>
      <c r="J54" s="40"/>
      <c r="K54" s="40"/>
      <c r="L54" s="40"/>
      <c r="M54" s="40"/>
      <c r="N54" s="40"/>
      <c r="O54" s="40"/>
      <c r="P54" s="40"/>
      <c r="Q54" s="40"/>
      <c r="R54" s="40"/>
    </row>
    <row r="55" spans="1:18" s="38" customFormat="1">
      <c r="A55" s="38" t="s">
        <v>83</v>
      </c>
      <c r="B55" s="41">
        <f t="shared" ref="B55" si="53">IF(B42=0,IF(B54="","","*"&amp;TEXT(B54,"0.0x")),(B41+B42-B44)/B47)</f>
        <v>16.138635418163648</v>
      </c>
      <c r="C55" s="41">
        <f t="shared" ref="C55:D55" si="54">IF(C42=0,IF(C54="","","*"&amp;TEXT(C54,"0.0x")),(C41+C42-C44)/C47)</f>
        <v>5.7683321806514103</v>
      </c>
      <c r="D55" s="41">
        <f t="shared" si="54"/>
        <v>5.7972271204970012</v>
      </c>
      <c r="E55" s="41">
        <f t="shared" ref="E55:F55" si="55">IF(E42=0,IF(E54="","","*"&amp;TEXT(E54,"0.0x")),(E41+E42-E44)/E47)</f>
        <v>5.6506997336324876</v>
      </c>
      <c r="F55" s="41">
        <f t="shared" si="55"/>
        <v>5.6875986672702945</v>
      </c>
      <c r="G55" s="41">
        <f t="shared" ref="G55:H55" si="56">IF(G42=0,IF(G54="","","*"&amp;TEXT(G54,"0.0x")),(G41+G42-G44)/G47)</f>
        <v>5.6078233816568215</v>
      </c>
      <c r="H55" s="41">
        <f t="shared" si="56"/>
        <v>5.643496214728148</v>
      </c>
      <c r="I55" s="41">
        <f t="shared" ref="I55:J55" si="57">IF(I42=0,IF(I54="","","*"&amp;TEXT(I54,"0.0x")),(I41+I42-I44)/I47)</f>
        <v>5.8440170078740161</v>
      </c>
      <c r="J55" s="41">
        <f t="shared" si="57"/>
        <v>5.8380281690140849</v>
      </c>
      <c r="K55" s="41">
        <f t="shared" ref="K55:R55" si="58">IF(K42=0,IF(K54="","","*"&amp;TEXT(K54,"0.0x")),(K41+K42-K44)/K47)</f>
        <v>6.1488066846947049</v>
      </c>
      <c r="L55" s="41">
        <f t="shared" si="58"/>
        <v>5.821046684192698</v>
      </c>
      <c r="M55" s="41">
        <f t="shared" si="58"/>
        <v>6.2234351687322595</v>
      </c>
      <c r="N55" s="41">
        <f t="shared" si="58"/>
        <v>6.1592301952696635</v>
      </c>
      <c r="O55" s="41">
        <f t="shared" si="58"/>
        <v>6.5565217391304351</v>
      </c>
      <c r="P55" s="41" t="str">
        <f t="shared" si="58"/>
        <v/>
      </c>
      <c r="Q55" s="41" t="str">
        <f t="shared" si="58"/>
        <v/>
      </c>
      <c r="R55" s="41" t="str">
        <f t="shared" si="58"/>
        <v/>
      </c>
    </row>
    <row r="57" spans="1:18" ht="80.25" customHeight="1">
      <c r="A57" s="43" t="s">
        <v>84</v>
      </c>
      <c r="B57" s="44" t="s">
        <v>289</v>
      </c>
      <c r="C57" s="44" t="s">
        <v>289</v>
      </c>
      <c r="D57" s="44" t="s">
        <v>289</v>
      </c>
      <c r="E57" s="44" t="s">
        <v>289</v>
      </c>
      <c r="F57" s="44" t="s">
        <v>289</v>
      </c>
      <c r="G57" s="44" t="s">
        <v>544</v>
      </c>
      <c r="H57" s="44" t="s">
        <v>544</v>
      </c>
      <c r="I57" s="44" t="s">
        <v>307</v>
      </c>
      <c r="J57" s="44" t="s">
        <v>307</v>
      </c>
      <c r="K57" s="44"/>
      <c r="L57" s="44"/>
      <c r="M57" s="44"/>
      <c r="N57" s="44"/>
      <c r="O57" s="44" t="s">
        <v>90</v>
      </c>
      <c r="P57" s="44"/>
      <c r="Q57" s="44"/>
      <c r="R57" s="44"/>
    </row>
    <row r="58" spans="1:18">
      <c r="A58" s="45"/>
      <c r="B58" s="42"/>
      <c r="C58" s="42"/>
      <c r="D58" s="42"/>
      <c r="E58" s="42"/>
      <c r="F58" s="42"/>
      <c r="G58" s="42"/>
      <c r="H58" s="42"/>
      <c r="I58" s="42"/>
      <c r="J58" s="42"/>
      <c r="K58" s="42"/>
      <c r="L58" s="42"/>
      <c r="M58" s="42"/>
      <c r="N58" s="42"/>
      <c r="O58" s="42"/>
    </row>
    <row r="59" spans="1:18">
      <c r="A59" s="45"/>
    </row>
  </sheetData>
  <pageMargins left="0.7" right="0.7" top="0.75" bottom="0.75" header="0.3" footer="0.3"/>
  <pageSetup orientation="portrait" r:id="rId1"/>
  <ignoredErrors>
    <ignoredError sqref="H41:N44 H45:I45 K45:N45 K46:N46 I40:N40" formula="1"/>
    <ignoredError sqref="C46:H47" formulaRange="1"/>
  </ignoredErrors>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2:AD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1" width="10.6640625" style="14" customWidth="1"/>
    <col min="12" max="25" width="10.6640625" style="14" hidden="1" customWidth="1"/>
    <col min="26" max="28" width="9.109375" style="14"/>
    <col min="29" max="29" width="10.88671875" style="14" bestFit="1" customWidth="1"/>
    <col min="30" max="16384" width="9.109375" style="14"/>
  </cols>
  <sheetData>
    <row r="2" spans="1:27">
      <c r="A2" s="13" t="s">
        <v>44</v>
      </c>
      <c r="B2" s="14" t="s">
        <v>27</v>
      </c>
    </row>
    <row r="3" spans="1:27" s="16" customFormat="1">
      <c r="A3" s="15" t="s">
        <v>45</v>
      </c>
      <c r="B3" s="16" t="s">
        <v>105</v>
      </c>
    </row>
    <row r="4" spans="1:27">
      <c r="A4" s="13" t="s">
        <v>2</v>
      </c>
      <c r="B4" s="14" t="s">
        <v>4</v>
      </c>
    </row>
    <row r="5" spans="1:27">
      <c r="A5" s="13" t="s">
        <v>46</v>
      </c>
    </row>
    <row r="6" spans="1:27">
      <c r="A6" s="13" t="s">
        <v>47</v>
      </c>
      <c r="B6" s="14">
        <v>3</v>
      </c>
    </row>
    <row r="7" spans="1:27">
      <c r="A7" s="13" t="s">
        <v>48</v>
      </c>
      <c r="B7" s="14" t="s">
        <v>461</v>
      </c>
    </row>
    <row r="8" spans="1:27">
      <c r="A8" s="13" t="s">
        <v>347</v>
      </c>
      <c r="B8" s="14" t="s">
        <v>365</v>
      </c>
    </row>
    <row r="9" spans="1:27">
      <c r="A9" s="17"/>
    </row>
    <row r="10" spans="1:27">
      <c r="A10" s="17" t="s">
        <v>49</v>
      </c>
      <c r="B10" s="18">
        <v>44377</v>
      </c>
      <c r="C10" s="18">
        <v>44286</v>
      </c>
      <c r="D10" s="18">
        <v>44196</v>
      </c>
      <c r="E10" s="18">
        <v>44104</v>
      </c>
      <c r="F10" s="18">
        <v>44012</v>
      </c>
      <c r="G10" s="18">
        <v>43921</v>
      </c>
      <c r="H10" s="18">
        <v>43830</v>
      </c>
      <c r="I10" s="18">
        <v>43738</v>
      </c>
      <c r="J10" s="18">
        <v>43646</v>
      </c>
      <c r="K10" s="18">
        <v>43555</v>
      </c>
      <c r="L10" s="18">
        <v>43465</v>
      </c>
      <c r="M10" s="18">
        <v>43373</v>
      </c>
      <c r="N10" s="18">
        <v>43281</v>
      </c>
      <c r="O10" s="18">
        <v>43190</v>
      </c>
      <c r="P10" s="18">
        <v>43100</v>
      </c>
      <c r="Q10" s="18">
        <v>43008</v>
      </c>
      <c r="R10" s="18">
        <v>42916</v>
      </c>
      <c r="S10" s="18">
        <v>42825</v>
      </c>
      <c r="T10" s="18">
        <v>42735</v>
      </c>
      <c r="U10" s="18">
        <v>42643</v>
      </c>
      <c r="V10" s="18">
        <v>42551</v>
      </c>
      <c r="W10" s="18">
        <v>42460</v>
      </c>
      <c r="X10" s="18">
        <v>42369</v>
      </c>
      <c r="Y10" s="18">
        <v>42277</v>
      </c>
    </row>
    <row r="12" spans="1:27">
      <c r="A12" s="19" t="s">
        <v>50</v>
      </c>
      <c r="B12" s="20">
        <v>68.694999999999993</v>
      </c>
      <c r="C12" s="20">
        <v>53.957999999999998</v>
      </c>
      <c r="D12" s="20">
        <v>51.2</v>
      </c>
      <c r="E12" s="20">
        <v>61.548000000000002</v>
      </c>
      <c r="F12" s="20">
        <v>56.53</v>
      </c>
      <c r="G12" s="20">
        <v>44.795999999999999</v>
      </c>
      <c r="H12" s="20">
        <v>38.595999999999997</v>
      </c>
      <c r="I12" s="20">
        <v>47.7</v>
      </c>
      <c r="J12" s="20">
        <v>54.418999999999997</v>
      </c>
      <c r="K12" s="20">
        <v>44.16</v>
      </c>
      <c r="L12" s="20">
        <f>192.007-M12-N12-O12</f>
        <v>40.805000000000014</v>
      </c>
      <c r="M12" s="20">
        <v>47.716999999999999</v>
      </c>
      <c r="N12" s="20">
        <v>52.877000000000002</v>
      </c>
      <c r="O12" s="20">
        <v>50.607999999999997</v>
      </c>
      <c r="P12" s="20">
        <v>39.908000000000001</v>
      </c>
      <c r="Q12" s="20">
        <v>44.837000000000003</v>
      </c>
      <c r="R12" s="20">
        <v>53.405000000000001</v>
      </c>
      <c r="S12" s="20">
        <v>49.103000000000002</v>
      </c>
      <c r="T12" s="20">
        <v>37.709000000000003</v>
      </c>
      <c r="U12" s="20">
        <v>48.652000000000001</v>
      </c>
      <c r="V12" s="20">
        <v>55.7</v>
      </c>
      <c r="W12" s="20">
        <v>50.927</v>
      </c>
      <c r="X12" s="20">
        <v>40.86</v>
      </c>
      <c r="Y12" s="20">
        <v>46.252000000000002</v>
      </c>
    </row>
    <row r="13" spans="1:27" s="21" customFormat="1">
      <c r="A13" s="21" t="s">
        <v>51</v>
      </c>
      <c r="B13" s="21">
        <f t="shared" ref="B13:U13" si="0">+B12/F12-1</f>
        <v>0.21519547143109841</v>
      </c>
      <c r="C13" s="21">
        <f t="shared" si="0"/>
        <v>0.20452718992767216</v>
      </c>
      <c r="D13" s="21">
        <f t="shared" si="0"/>
        <v>0.32656233806612112</v>
      </c>
      <c r="E13" s="21">
        <f t="shared" si="0"/>
        <v>0.29031446540880501</v>
      </c>
      <c r="F13" s="21">
        <f t="shared" si="0"/>
        <v>3.8791598522574855E-2</v>
      </c>
      <c r="G13" s="21">
        <f t="shared" si="0"/>
        <v>1.4402173913043548E-2</v>
      </c>
      <c r="H13" s="21">
        <f t="shared" si="0"/>
        <v>-5.4135522607523967E-2</v>
      </c>
      <c r="I13" s="21">
        <f t="shared" si="0"/>
        <v>-3.5626715845493706E-4</v>
      </c>
      <c r="J13" s="21">
        <f t="shared" si="0"/>
        <v>2.9162017512339933E-2</v>
      </c>
      <c r="K13" s="21">
        <f t="shared" si="0"/>
        <v>-0.12741068605754036</v>
      </c>
      <c r="L13" s="21">
        <f t="shared" si="0"/>
        <v>2.2476696401724228E-2</v>
      </c>
      <c r="M13" s="21">
        <f t="shared" si="0"/>
        <v>6.4232664986506594E-2</v>
      </c>
      <c r="N13" s="21">
        <f t="shared" si="0"/>
        <v>-9.8867147270854661E-3</v>
      </c>
      <c r="O13" s="21">
        <f t="shared" si="0"/>
        <v>3.0649858460786383E-2</v>
      </c>
      <c r="P13" s="21">
        <f t="shared" si="0"/>
        <v>5.8314991116179105E-2</v>
      </c>
      <c r="Q13" s="21">
        <f t="shared" si="0"/>
        <v>-7.8414042588177191E-2</v>
      </c>
      <c r="R13" s="21">
        <f t="shared" si="0"/>
        <v>-4.12028725314183E-2</v>
      </c>
      <c r="S13" s="21">
        <f t="shared" si="0"/>
        <v>-3.5815971881320241E-2</v>
      </c>
      <c r="T13" s="21">
        <f t="shared" si="0"/>
        <v>-7.7116984826235857E-2</v>
      </c>
      <c r="U13" s="21">
        <f t="shared" si="0"/>
        <v>5.1889648015220891E-2</v>
      </c>
    </row>
    <row r="14" spans="1:27"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t="s">
        <v>3</v>
      </c>
      <c r="P14" s="23" t="s">
        <v>3</v>
      </c>
      <c r="Q14" s="23" t="s">
        <v>3</v>
      </c>
      <c r="R14" s="23" t="s">
        <v>3</v>
      </c>
      <c r="S14" s="23" t="s">
        <v>3</v>
      </c>
      <c r="T14" s="23" t="s">
        <v>3</v>
      </c>
      <c r="U14" s="23" t="s">
        <v>3</v>
      </c>
      <c r="V14" s="22"/>
      <c r="W14" s="22"/>
      <c r="X14" s="22"/>
      <c r="Y14" s="22"/>
    </row>
    <row r="16" spans="1:27" s="17" customFormat="1">
      <c r="A16" s="25" t="s">
        <v>53</v>
      </c>
      <c r="B16" s="26">
        <v>13.936</v>
      </c>
      <c r="C16" s="26">
        <v>9.1359999999999992</v>
      </c>
      <c r="D16" s="26">
        <v>10</v>
      </c>
      <c r="E16" s="26">
        <v>15.247999999999999</v>
      </c>
      <c r="F16" s="26">
        <v>15.545</v>
      </c>
      <c r="G16" s="26">
        <v>6.319</v>
      </c>
      <c r="H16" s="26">
        <v>4.0999999999999996</v>
      </c>
      <c r="I16" s="26">
        <v>10.766999999999999</v>
      </c>
      <c r="J16" s="26">
        <v>15.542999999999999</v>
      </c>
      <c r="K16" s="26">
        <v>10.558</v>
      </c>
      <c r="L16" s="26">
        <v>10.614000000000001</v>
      </c>
      <c r="M16" s="26">
        <v>13.009709000000001</v>
      </c>
      <c r="N16" s="26">
        <v>16.59</v>
      </c>
      <c r="O16" s="26">
        <v>17.452999999999999</v>
      </c>
      <c r="P16" s="26">
        <v>10.362</v>
      </c>
      <c r="Q16" s="26">
        <v>13.018999999999998</v>
      </c>
      <c r="R16" s="26">
        <v>16.199000000000002</v>
      </c>
      <c r="S16" s="26">
        <v>15.268000000000001</v>
      </c>
      <c r="T16" s="26">
        <v>10.058999999999999</v>
      </c>
      <c r="U16" s="26">
        <v>15.518000000000001</v>
      </c>
      <c r="V16" s="26">
        <v>16.75</v>
      </c>
      <c r="W16" s="26">
        <v>15.04</v>
      </c>
      <c r="X16" s="26">
        <v>11.71</v>
      </c>
      <c r="Y16" s="26">
        <v>12.89</v>
      </c>
      <c r="AA16" s="14"/>
    </row>
    <row r="17" spans="1:25" s="21" customFormat="1">
      <c r="A17" s="21" t="s">
        <v>54</v>
      </c>
      <c r="B17" s="21">
        <f t="shared" ref="B17" si="1">+B16/B12</f>
        <v>0.20286774874445013</v>
      </c>
      <c r="C17" s="21">
        <f t="shared" ref="C17:D17" si="2">+C16/C12</f>
        <v>0.1693168760888098</v>
      </c>
      <c r="D17" s="21">
        <f t="shared" si="2"/>
        <v>0.1953125</v>
      </c>
      <c r="E17" s="21">
        <f t="shared" ref="E17:F17" si="3">+E16/E12</f>
        <v>0.24774160005199192</v>
      </c>
      <c r="F17" s="21">
        <f t="shared" si="3"/>
        <v>0.27498673270829649</v>
      </c>
      <c r="G17" s="21">
        <f t="shared" ref="G17:H17" si="4">+G16/G12</f>
        <v>0.14106170193767301</v>
      </c>
      <c r="H17" s="21">
        <f t="shared" si="4"/>
        <v>0.10622862472795108</v>
      </c>
      <c r="I17" s="21">
        <f t="shared" ref="I17:J17" si="5">+I16/I12</f>
        <v>0.22572327044025156</v>
      </c>
      <c r="J17" s="21">
        <f t="shared" si="5"/>
        <v>0.28561715577279995</v>
      </c>
      <c r="K17" s="21">
        <f t="shared" ref="K17:L17" si="6">+K16/K12</f>
        <v>0.23908514492753624</v>
      </c>
      <c r="L17" s="21">
        <f t="shared" si="6"/>
        <v>0.26011518196299466</v>
      </c>
      <c r="M17" s="21">
        <f t="shared" ref="M17:Y17" si="7">+M16/M12</f>
        <v>0.27264306222101142</v>
      </c>
      <c r="N17" s="21">
        <f t="shared" si="7"/>
        <v>0.31374699774949411</v>
      </c>
      <c r="O17" s="21">
        <f t="shared" si="7"/>
        <v>0.34486642428074615</v>
      </c>
      <c r="P17" s="21">
        <f t="shared" si="7"/>
        <v>0.25964718853362734</v>
      </c>
      <c r="Q17" s="21">
        <f t="shared" si="7"/>
        <v>0.29036286995115634</v>
      </c>
      <c r="R17" s="21">
        <f t="shared" si="7"/>
        <v>0.30332365883344259</v>
      </c>
      <c r="S17" s="21">
        <f t="shared" si="7"/>
        <v>0.31093823187992586</v>
      </c>
      <c r="T17" s="21">
        <f t="shared" si="7"/>
        <v>0.26675329496937067</v>
      </c>
      <c r="U17" s="21">
        <f t="shared" si="7"/>
        <v>0.3189591383704678</v>
      </c>
      <c r="V17" s="21">
        <f t="shared" si="7"/>
        <v>0.3007181328545781</v>
      </c>
      <c r="W17" s="21">
        <f t="shared" si="7"/>
        <v>0.29532468042492194</v>
      </c>
      <c r="X17" s="21">
        <f t="shared" si="7"/>
        <v>0.28658835046500247</v>
      </c>
      <c r="Y17" s="21">
        <f t="shared" si="7"/>
        <v>0.27869065121508257</v>
      </c>
    </row>
    <row r="18" spans="1:25" s="24" customFormat="1"/>
    <row r="19" spans="1:25"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c r="Y19" s="20">
        <v>0</v>
      </c>
    </row>
    <row r="20" spans="1:25"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c r="Y20" s="20">
        <v>0</v>
      </c>
    </row>
    <row r="21" spans="1:25"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row>
    <row r="22" spans="1:25" s="17" customFormat="1">
      <c r="A22" s="17" t="s">
        <v>58</v>
      </c>
      <c r="B22" s="27">
        <f t="shared" ref="B22" si="8">SUM(B16,B19:B21)</f>
        <v>13.936</v>
      </c>
      <c r="C22" s="27">
        <f t="shared" ref="C22:D22" si="9">SUM(C16,C19:C21)</f>
        <v>9.1359999999999992</v>
      </c>
      <c r="D22" s="27">
        <f t="shared" si="9"/>
        <v>10</v>
      </c>
      <c r="E22" s="27">
        <f t="shared" ref="E22:F22" si="10">SUM(E16,E19:E21)</f>
        <v>15.247999999999999</v>
      </c>
      <c r="F22" s="27">
        <f t="shared" si="10"/>
        <v>15.545</v>
      </c>
      <c r="G22" s="27">
        <f t="shared" ref="G22:H22" si="11">SUM(G16,G19:G21)</f>
        <v>6.319</v>
      </c>
      <c r="H22" s="27">
        <f t="shared" si="11"/>
        <v>4.0999999999999996</v>
      </c>
      <c r="I22" s="27">
        <f t="shared" ref="I22:J22" si="12">SUM(I16,I19:I21)</f>
        <v>10.766999999999999</v>
      </c>
      <c r="J22" s="27">
        <f t="shared" si="12"/>
        <v>15.542999999999999</v>
      </c>
      <c r="K22" s="27">
        <f t="shared" ref="K22:L22" si="13">SUM(K16,K19:K21)</f>
        <v>10.558</v>
      </c>
      <c r="L22" s="27">
        <f t="shared" si="13"/>
        <v>10.614000000000001</v>
      </c>
      <c r="M22" s="27">
        <f t="shared" ref="M22:Y22" si="14">SUM(M16,M19:M21)</f>
        <v>13.009709000000001</v>
      </c>
      <c r="N22" s="27">
        <f t="shared" si="14"/>
        <v>16.59</v>
      </c>
      <c r="O22" s="27">
        <f t="shared" si="14"/>
        <v>17.452999999999999</v>
      </c>
      <c r="P22" s="27">
        <f t="shared" si="14"/>
        <v>10.362</v>
      </c>
      <c r="Q22" s="27">
        <f t="shared" si="14"/>
        <v>13.018999999999998</v>
      </c>
      <c r="R22" s="27">
        <f t="shared" si="14"/>
        <v>16.199000000000002</v>
      </c>
      <c r="S22" s="27">
        <f t="shared" si="14"/>
        <v>15.268000000000001</v>
      </c>
      <c r="T22" s="27">
        <f t="shared" si="14"/>
        <v>10.058999999999999</v>
      </c>
      <c r="U22" s="27">
        <f t="shared" si="14"/>
        <v>15.518000000000001</v>
      </c>
      <c r="V22" s="27">
        <f t="shared" si="14"/>
        <v>16.75</v>
      </c>
      <c r="W22" s="27">
        <f t="shared" si="14"/>
        <v>15.04</v>
      </c>
      <c r="X22" s="27">
        <f t="shared" si="14"/>
        <v>11.71</v>
      </c>
      <c r="Y22" s="27">
        <f t="shared" si="14"/>
        <v>12.89</v>
      </c>
    </row>
    <row r="23" spans="1:25" s="17" customFormat="1">
      <c r="B23" s="21"/>
      <c r="C23" s="21"/>
      <c r="D23" s="21"/>
      <c r="E23" s="21"/>
      <c r="F23" s="21"/>
      <c r="G23" s="21"/>
      <c r="H23" s="21"/>
      <c r="I23" s="21"/>
      <c r="J23" s="21"/>
      <c r="K23" s="21"/>
      <c r="L23" s="21"/>
      <c r="M23" s="21"/>
      <c r="N23" s="27"/>
      <c r="O23" s="27"/>
      <c r="P23" s="27"/>
      <c r="Q23" s="27"/>
      <c r="R23" s="27"/>
      <c r="S23" s="27"/>
      <c r="T23" s="27"/>
      <c r="U23" s="27"/>
      <c r="V23" s="27"/>
      <c r="W23" s="27"/>
      <c r="X23" s="27"/>
      <c r="Y23" s="27"/>
    </row>
    <row r="24" spans="1:25" s="17" customFormat="1">
      <c r="A24" s="17" t="s">
        <v>59</v>
      </c>
      <c r="B24" s="27">
        <f t="shared" ref="B24:V24" si="15">SUM(B22:E22)</f>
        <v>48.32</v>
      </c>
      <c r="C24" s="27">
        <f t="shared" si="15"/>
        <v>49.929000000000002</v>
      </c>
      <c r="D24" s="27">
        <f t="shared" si="15"/>
        <v>47.112000000000002</v>
      </c>
      <c r="E24" s="27">
        <f t="shared" si="15"/>
        <v>41.212000000000003</v>
      </c>
      <c r="F24" s="27">
        <f t="shared" si="15"/>
        <v>36.730999999999995</v>
      </c>
      <c r="G24" s="27">
        <f t="shared" si="15"/>
        <v>36.728999999999999</v>
      </c>
      <c r="H24" s="27">
        <f t="shared" si="15"/>
        <v>40.967999999999996</v>
      </c>
      <c r="I24" s="27">
        <f t="shared" si="15"/>
        <v>47.481999999999999</v>
      </c>
      <c r="J24" s="27">
        <f t="shared" si="15"/>
        <v>49.724709000000004</v>
      </c>
      <c r="K24" s="27">
        <f t="shared" si="15"/>
        <v>50.771709000000001</v>
      </c>
      <c r="L24" s="27">
        <f t="shared" si="15"/>
        <v>57.666708999999997</v>
      </c>
      <c r="M24" s="27">
        <f t="shared" si="15"/>
        <v>57.414709000000002</v>
      </c>
      <c r="N24" s="27">
        <f t="shared" si="15"/>
        <v>57.423999999999999</v>
      </c>
      <c r="O24" s="27">
        <f t="shared" si="15"/>
        <v>57.033000000000001</v>
      </c>
      <c r="P24" s="27">
        <f t="shared" si="15"/>
        <v>54.847999999999999</v>
      </c>
      <c r="Q24" s="27">
        <f t="shared" si="15"/>
        <v>54.545000000000002</v>
      </c>
      <c r="R24" s="27">
        <f t="shared" si="15"/>
        <v>57.044000000000004</v>
      </c>
      <c r="S24" s="27">
        <f t="shared" si="15"/>
        <v>57.594999999999999</v>
      </c>
      <c r="T24" s="27">
        <f t="shared" si="15"/>
        <v>57.366999999999997</v>
      </c>
      <c r="U24" s="27">
        <f t="shared" si="15"/>
        <v>59.018000000000001</v>
      </c>
      <c r="V24" s="27">
        <f t="shared" si="15"/>
        <v>56.39</v>
      </c>
      <c r="W24" s="27"/>
      <c r="X24" s="27"/>
      <c r="Y24" s="27"/>
    </row>
    <row r="25" spans="1:25" s="24" customFormat="1">
      <c r="A25" s="19" t="s">
        <v>60</v>
      </c>
      <c r="B25" s="28">
        <f>52.780285-B24</f>
        <v>4.4602849999999989</v>
      </c>
      <c r="C25" s="28">
        <f>57.436889-C24</f>
        <v>7.5078889999999987</v>
      </c>
      <c r="D25" s="28">
        <f>54.7-D24</f>
        <v>7.588000000000001</v>
      </c>
      <c r="E25" s="28">
        <f>49.469401-E24</f>
        <v>8.2574009999999944</v>
      </c>
      <c r="F25" s="28">
        <f>44.091-F24</f>
        <v>7.3600000000000065</v>
      </c>
      <c r="G25" s="28">
        <f>44.089-G24</f>
        <v>7.3599999999999994</v>
      </c>
      <c r="H25" s="28">
        <f>47.88-H24</f>
        <v>6.9120000000000061</v>
      </c>
      <c r="I25" s="28">
        <v>0</v>
      </c>
      <c r="J25" s="28">
        <v>0</v>
      </c>
      <c r="K25" s="28">
        <v>0</v>
      </c>
      <c r="L25" s="28">
        <v>0</v>
      </c>
      <c r="M25" s="28">
        <v>0</v>
      </c>
      <c r="N25" s="28">
        <v>0</v>
      </c>
      <c r="O25" s="28">
        <v>0</v>
      </c>
      <c r="P25" s="28">
        <v>0</v>
      </c>
      <c r="Q25" s="28">
        <v>0</v>
      </c>
      <c r="R25" s="28">
        <v>0</v>
      </c>
      <c r="S25" s="28">
        <v>0</v>
      </c>
      <c r="T25" s="28">
        <v>0</v>
      </c>
      <c r="U25" s="28">
        <v>0</v>
      </c>
      <c r="V25" s="28">
        <v>0</v>
      </c>
      <c r="W25" s="28"/>
      <c r="X25" s="28"/>
      <c r="Y25" s="28"/>
    </row>
    <row r="26" spans="1:25" s="24" customFormat="1">
      <c r="A26" s="19" t="s">
        <v>61</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v>0</v>
      </c>
      <c r="S26" s="29">
        <v>0</v>
      </c>
      <c r="T26" s="29">
        <v>0</v>
      </c>
      <c r="U26" s="29">
        <v>0</v>
      </c>
      <c r="V26" s="29">
        <v>0</v>
      </c>
      <c r="W26" s="30"/>
      <c r="X26" s="30"/>
      <c r="Y26" s="30"/>
    </row>
    <row r="27" spans="1:25" s="32" customFormat="1">
      <c r="A27" s="17" t="s">
        <v>62</v>
      </c>
      <c r="B27" s="27">
        <f t="shared" ref="B27" si="16">SUM(B24:B26)</f>
        <v>52.780284999999999</v>
      </c>
      <c r="C27" s="27">
        <f t="shared" ref="C27:D27" si="17">SUM(C24:C26)</f>
        <v>57.436889000000001</v>
      </c>
      <c r="D27" s="27">
        <f t="shared" si="17"/>
        <v>54.7</v>
      </c>
      <c r="E27" s="27">
        <f t="shared" ref="E27:F27" si="18">SUM(E24:E26)</f>
        <v>49.469400999999998</v>
      </c>
      <c r="F27" s="27">
        <f t="shared" si="18"/>
        <v>44.091000000000001</v>
      </c>
      <c r="G27" s="27">
        <f t="shared" ref="G27:H27" si="19">SUM(G24:G26)</f>
        <v>44.088999999999999</v>
      </c>
      <c r="H27" s="27">
        <f t="shared" si="19"/>
        <v>47.88</v>
      </c>
      <c r="I27" s="27">
        <f t="shared" ref="I27:J27" si="20">SUM(I24:I26)</f>
        <v>47.481999999999999</v>
      </c>
      <c r="J27" s="27">
        <f t="shared" si="20"/>
        <v>49.724709000000004</v>
      </c>
      <c r="K27" s="27">
        <f t="shared" ref="K27:L27" si="21">SUM(K24:K26)</f>
        <v>50.771709000000001</v>
      </c>
      <c r="L27" s="27">
        <f t="shared" si="21"/>
        <v>57.666708999999997</v>
      </c>
      <c r="M27" s="27">
        <f t="shared" ref="M27:V27" si="22">SUM(M24:M26)</f>
        <v>57.414709000000002</v>
      </c>
      <c r="N27" s="27">
        <f t="shared" si="22"/>
        <v>57.423999999999999</v>
      </c>
      <c r="O27" s="27">
        <f t="shared" si="22"/>
        <v>57.033000000000001</v>
      </c>
      <c r="P27" s="27">
        <f t="shared" si="22"/>
        <v>54.847999999999999</v>
      </c>
      <c r="Q27" s="27">
        <f t="shared" si="22"/>
        <v>54.545000000000002</v>
      </c>
      <c r="R27" s="27">
        <f t="shared" si="22"/>
        <v>57.044000000000004</v>
      </c>
      <c r="S27" s="27">
        <f t="shared" si="22"/>
        <v>57.594999999999999</v>
      </c>
      <c r="T27" s="27">
        <f t="shared" si="22"/>
        <v>57.366999999999997</v>
      </c>
      <c r="U27" s="27">
        <f t="shared" si="22"/>
        <v>59.018000000000001</v>
      </c>
      <c r="V27" s="27">
        <f t="shared" si="22"/>
        <v>56.39</v>
      </c>
      <c r="W27" s="31"/>
      <c r="X27" s="31"/>
      <c r="Y27" s="31"/>
    </row>
    <row r="28" spans="1:25" s="24" customFormat="1"/>
    <row r="29" spans="1:25" s="17" customFormat="1">
      <c r="A29" s="17" t="s">
        <v>58</v>
      </c>
      <c r="B29" s="27">
        <f t="shared" ref="B29" si="23">B22</f>
        <v>13.936</v>
      </c>
      <c r="C29" s="27">
        <f t="shared" ref="C29:D29" si="24">C22</f>
        <v>9.1359999999999992</v>
      </c>
      <c r="D29" s="27">
        <f t="shared" si="24"/>
        <v>10</v>
      </c>
      <c r="E29" s="27">
        <f t="shared" ref="E29:F29" si="25">E22</f>
        <v>15.247999999999999</v>
      </c>
      <c r="F29" s="27">
        <f t="shared" si="25"/>
        <v>15.545</v>
      </c>
      <c r="G29" s="27">
        <f t="shared" ref="G29:I29" si="26">G22</f>
        <v>6.319</v>
      </c>
      <c r="H29" s="27">
        <f t="shared" si="26"/>
        <v>4.0999999999999996</v>
      </c>
      <c r="I29" s="27">
        <f t="shared" si="26"/>
        <v>10.766999999999999</v>
      </c>
      <c r="J29" s="27">
        <f t="shared" ref="J29:K29" si="27">J22</f>
        <v>15.542999999999999</v>
      </c>
      <c r="K29" s="27">
        <f t="shared" si="27"/>
        <v>10.558</v>
      </c>
      <c r="L29" s="27">
        <f t="shared" ref="L29:Q29" si="28">L22</f>
        <v>10.614000000000001</v>
      </c>
      <c r="M29" s="27">
        <f t="shared" si="28"/>
        <v>13.009709000000001</v>
      </c>
      <c r="N29" s="27">
        <f t="shared" si="28"/>
        <v>16.59</v>
      </c>
      <c r="O29" s="27">
        <f t="shared" si="28"/>
        <v>17.452999999999999</v>
      </c>
      <c r="P29" s="27">
        <f t="shared" si="28"/>
        <v>10.362</v>
      </c>
      <c r="Q29" s="27">
        <f t="shared" si="28"/>
        <v>13.018999999999998</v>
      </c>
      <c r="R29" s="27">
        <f t="shared" ref="R29:Y29" si="29">R22</f>
        <v>16.199000000000002</v>
      </c>
      <c r="S29" s="27">
        <f t="shared" si="29"/>
        <v>15.268000000000001</v>
      </c>
      <c r="T29" s="27">
        <f t="shared" si="29"/>
        <v>10.058999999999999</v>
      </c>
      <c r="U29" s="27">
        <f t="shared" si="29"/>
        <v>15.518000000000001</v>
      </c>
      <c r="V29" s="27">
        <f t="shared" si="29"/>
        <v>16.75</v>
      </c>
      <c r="W29" s="27">
        <f t="shared" si="29"/>
        <v>15.04</v>
      </c>
      <c r="X29" s="27">
        <f t="shared" si="29"/>
        <v>11.71</v>
      </c>
      <c r="Y29" s="27">
        <f t="shared" si="29"/>
        <v>12.89</v>
      </c>
    </row>
    <row r="30" spans="1:25" s="33" customFormat="1">
      <c r="A30" s="20" t="s">
        <v>63</v>
      </c>
      <c r="B30" s="20"/>
      <c r="C30" s="20"/>
      <c r="D30" s="20"/>
      <c r="E30" s="20"/>
      <c r="F30" s="20"/>
      <c r="G30" s="20"/>
      <c r="H30" s="20"/>
      <c r="I30" s="20"/>
      <c r="J30" s="20"/>
      <c r="K30" s="20"/>
      <c r="L30" s="20"/>
      <c r="M30" s="20"/>
      <c r="N30" s="20"/>
      <c r="O30" s="20"/>
      <c r="P30" s="20"/>
      <c r="Q30" s="20"/>
      <c r="R30" s="20"/>
      <c r="S30" s="20"/>
      <c r="T30" s="20"/>
      <c r="U30" s="20"/>
      <c r="V30" s="20"/>
      <c r="W30" s="20"/>
      <c r="X30" s="20"/>
      <c r="Y30" s="20"/>
    </row>
    <row r="31" spans="1:25" s="33" customFormat="1">
      <c r="A31" s="20" t="s">
        <v>64</v>
      </c>
      <c r="B31" s="20"/>
      <c r="C31" s="20"/>
      <c r="D31" s="20"/>
      <c r="E31" s="20"/>
      <c r="F31" s="20"/>
      <c r="G31" s="20"/>
      <c r="H31" s="20"/>
      <c r="I31" s="20"/>
      <c r="J31" s="20"/>
      <c r="K31" s="20"/>
      <c r="L31" s="20"/>
      <c r="M31" s="20"/>
      <c r="N31" s="20"/>
      <c r="O31" s="20"/>
      <c r="P31" s="20"/>
      <c r="Q31" s="20"/>
      <c r="R31" s="20"/>
      <c r="S31" s="20"/>
      <c r="T31" s="20"/>
      <c r="U31" s="20"/>
      <c r="V31" s="20"/>
      <c r="W31" s="20"/>
      <c r="X31" s="20"/>
      <c r="Y31" s="20"/>
    </row>
    <row r="32" spans="1:25" s="33" customFormat="1">
      <c r="A32" s="20" t="s">
        <v>65</v>
      </c>
      <c r="B32" s="20">
        <f>-7.029-2.777+0.448+0.215+11.343-1.732</f>
        <v>0.46799999999999931</v>
      </c>
      <c r="C32" s="20">
        <f>-7.895-10.717-2.437+0.576+9.889-3.286</f>
        <v>-13.870000000000003</v>
      </c>
      <c r="D32" s="20"/>
      <c r="E32" s="20">
        <f>2.298+0.561-0.938+0.374+0.315+4.114</f>
        <v>6.7240000000000002</v>
      </c>
      <c r="F32" s="20">
        <f>-13.774+8.534+0.457+0.245+0.269-1.466</f>
        <v>-5.7349999999999985</v>
      </c>
      <c r="G32" s="20">
        <f>0.586+1.398-0.491-0.298-1.262-1.256</f>
        <v>-1.3230000000000002</v>
      </c>
      <c r="H32" s="20">
        <f>2.634-1.005+0.943-7.302+0.132+1.127</f>
        <v>-3.4710000000000001</v>
      </c>
      <c r="I32" s="20">
        <f>2.302-3.005-0.898-7.841+8.07+4.591</f>
        <v>3.2190000000000003</v>
      </c>
      <c r="J32" s="20">
        <f>-2.836+0.364+0.054-1.12+1.472+2.154</f>
        <v>8.7999999999999634E-2</v>
      </c>
      <c r="K32" s="20">
        <f>-4.617+0.441-0.021-2.226+2.691+0.94</f>
        <v>-2.7920000000000003</v>
      </c>
      <c r="L32" s="20">
        <f>3.275-3.731+1.167+1.061-1.412-0.161</f>
        <v>0.19900000000000009</v>
      </c>
      <c r="M32" s="20">
        <v>-3.3570000000000002</v>
      </c>
      <c r="N32" s="20">
        <v>1.165</v>
      </c>
      <c r="O32" s="20">
        <f>-10.108-0.394-1.116+0.152+0.209-2.139</f>
        <v>-13.396000000000001</v>
      </c>
      <c r="P32" s="20">
        <f>2.977+1.636-1.582+0.678-1.156-0.394</f>
        <v>2.1589999999999998</v>
      </c>
      <c r="Q32" s="20">
        <f>2.977+1.636-1.582+0.678-1.156-0.394</f>
        <v>2.1589999999999998</v>
      </c>
      <c r="R32" s="20">
        <f>1.267+0.906-0.126+4.368-3.048-3.471</f>
        <v>-0.1039999999999992</v>
      </c>
      <c r="S32" s="20">
        <v>-4.0299999999999994</v>
      </c>
      <c r="T32" s="20">
        <v>3.4520000000000004</v>
      </c>
      <c r="U32" s="20">
        <v>5.0600000000000005</v>
      </c>
      <c r="V32" s="20">
        <v>-3.1999999999999997</v>
      </c>
      <c r="W32" s="20">
        <v>-3.2640000000000002</v>
      </c>
      <c r="X32" s="20">
        <v>2.4509999999999996</v>
      </c>
      <c r="Y32" s="20">
        <v>-0.373</v>
      </c>
    </row>
    <row r="33" spans="1:30" s="33" customFormat="1">
      <c r="A33" s="20" t="s">
        <v>66</v>
      </c>
      <c r="B33" s="20"/>
      <c r="C33" s="20"/>
      <c r="D33" s="20"/>
      <c r="E33" s="20"/>
      <c r="F33" s="20"/>
      <c r="G33" s="20"/>
      <c r="H33" s="20"/>
      <c r="I33" s="20"/>
      <c r="J33" s="20"/>
      <c r="K33" s="20"/>
      <c r="L33" s="20"/>
      <c r="M33" s="20"/>
      <c r="N33" s="20"/>
      <c r="O33" s="20"/>
      <c r="P33" s="20"/>
      <c r="Q33" s="20"/>
      <c r="R33" s="20"/>
      <c r="S33" s="20"/>
      <c r="T33" s="20"/>
      <c r="U33" s="20"/>
      <c r="V33" s="20"/>
      <c r="W33" s="20"/>
      <c r="X33" s="20"/>
      <c r="Y33" s="20"/>
    </row>
    <row r="34" spans="1:30" s="33" customFormat="1">
      <c r="A34" s="20" t="s">
        <v>57</v>
      </c>
      <c r="B34" s="29"/>
      <c r="C34" s="29"/>
      <c r="D34" s="29"/>
      <c r="E34" s="29"/>
      <c r="F34" s="29"/>
      <c r="G34" s="29"/>
      <c r="H34" s="29"/>
      <c r="I34" s="29"/>
      <c r="J34" s="29"/>
      <c r="K34" s="29"/>
      <c r="L34" s="29"/>
      <c r="M34" s="29"/>
      <c r="N34" s="29"/>
      <c r="O34" s="29"/>
      <c r="P34" s="29"/>
      <c r="Q34" s="29"/>
      <c r="R34" s="29"/>
      <c r="S34" s="29"/>
      <c r="T34" s="29"/>
      <c r="U34" s="29"/>
      <c r="V34" s="29"/>
      <c r="W34" s="29"/>
      <c r="X34" s="29"/>
      <c r="Y34" s="29"/>
    </row>
    <row r="35" spans="1:30" s="27" customFormat="1">
      <c r="A35" s="27" t="s">
        <v>67</v>
      </c>
      <c r="B35" s="27">
        <v>-5.72</v>
      </c>
      <c r="C35" s="27">
        <v>-18.567</v>
      </c>
      <c r="E35" s="27">
        <v>2.7789999999999999</v>
      </c>
      <c r="F35" s="27">
        <v>-5.9429999999999996</v>
      </c>
      <c r="G35" s="27">
        <v>-11.332000000000001</v>
      </c>
      <c r="H35" s="27">
        <v>-13.853</v>
      </c>
      <c r="I35" s="27">
        <v>-0.42599999999999999</v>
      </c>
      <c r="J35" s="27">
        <v>1.645</v>
      </c>
      <c r="K35" s="27">
        <v>-3.7639999999999998</v>
      </c>
      <c r="L35" s="27">
        <v>-5.1020000000000003</v>
      </c>
      <c r="M35" s="27">
        <v>1.0900000000000001</v>
      </c>
      <c r="N35" s="27">
        <v>5.3780000000000001</v>
      </c>
      <c r="O35" s="27">
        <v>-1.0129999999999999</v>
      </c>
      <c r="P35" s="27">
        <v>5.1269999999999998</v>
      </c>
      <c r="Q35" s="27">
        <v>6.7619999999999996</v>
      </c>
      <c r="R35" s="27">
        <v>7.702</v>
      </c>
      <c r="S35" s="27">
        <v>-0.88900000000000001</v>
      </c>
      <c r="T35" s="27">
        <v>-18.082999999999998</v>
      </c>
      <c r="U35" s="27">
        <v>11.833</v>
      </c>
      <c r="V35" s="27">
        <v>3.9</v>
      </c>
      <c r="W35" s="27">
        <v>5.6159999999999997</v>
      </c>
      <c r="X35" s="27">
        <v>6.2759999999999998</v>
      </c>
      <c r="Y35" s="27">
        <v>3.754</v>
      </c>
    </row>
    <row r="36" spans="1:30" s="33" customFormat="1">
      <c r="A36" s="20" t="s">
        <v>68</v>
      </c>
      <c r="B36" s="29">
        <v>-2.8119999999999998</v>
      </c>
      <c r="C36" s="29">
        <v>-2.7280000000000002</v>
      </c>
      <c r="D36" s="29"/>
      <c r="E36" s="29">
        <v>-4.7430000000000003</v>
      </c>
      <c r="F36" s="29">
        <f>-1.6-1.133</f>
        <v>-2.7330000000000001</v>
      </c>
      <c r="G36" s="29">
        <v>-0.58299999999999996</v>
      </c>
      <c r="H36" s="29">
        <v>-1.018</v>
      </c>
      <c r="I36" s="29">
        <v>-0.88</v>
      </c>
      <c r="J36" s="29">
        <v>-1.341</v>
      </c>
      <c r="K36" s="29">
        <v>-0.38700000000000001</v>
      </c>
      <c r="L36" s="29">
        <v>-1.6</v>
      </c>
      <c r="M36" s="29">
        <v>-0.82499999999999996</v>
      </c>
      <c r="N36" s="29">
        <v>-0.85399999999999998</v>
      </c>
      <c r="O36" s="29">
        <v>-0.45400000000000001</v>
      </c>
      <c r="P36" s="29">
        <v>-1.0660000000000001</v>
      </c>
      <c r="Q36" s="29">
        <v>-1.0629999999999999</v>
      </c>
      <c r="R36" s="29">
        <v>-0.58600000000000008</v>
      </c>
      <c r="S36" s="29">
        <v>-0.79100000000000004</v>
      </c>
      <c r="T36" s="29">
        <v>-0.82199999999999995</v>
      </c>
      <c r="U36" s="29">
        <v>-2.4460000000000002</v>
      </c>
      <c r="V36" s="29">
        <v>-1.4</v>
      </c>
      <c r="W36" s="29">
        <v>-0.96599999999999997</v>
      </c>
      <c r="X36" s="29">
        <v>-0.61199999999999999</v>
      </c>
      <c r="Y36" s="29">
        <v>-1.103</v>
      </c>
    </row>
    <row r="37" spans="1:30" s="27" customFormat="1">
      <c r="A37" s="27" t="s">
        <v>69</v>
      </c>
      <c r="B37" s="27">
        <f t="shared" ref="B37:Y37" si="30">+B35+B36</f>
        <v>-8.532</v>
      </c>
      <c r="C37" s="27">
        <f t="shared" si="30"/>
        <v>-21.295000000000002</v>
      </c>
      <c r="D37" s="158" t="s">
        <v>112</v>
      </c>
      <c r="E37" s="27">
        <f t="shared" si="30"/>
        <v>-1.9640000000000004</v>
      </c>
      <c r="F37" s="27">
        <f t="shared" si="30"/>
        <v>-8.6760000000000002</v>
      </c>
      <c r="G37" s="27">
        <f t="shared" si="30"/>
        <v>-11.915000000000001</v>
      </c>
      <c r="H37" s="27">
        <f t="shared" si="30"/>
        <v>-14.871</v>
      </c>
      <c r="I37" s="27">
        <f t="shared" si="30"/>
        <v>-1.306</v>
      </c>
      <c r="J37" s="27">
        <f t="shared" si="30"/>
        <v>0.30400000000000005</v>
      </c>
      <c r="K37" s="27">
        <f t="shared" si="30"/>
        <v>-4.1509999999999998</v>
      </c>
      <c r="L37" s="27">
        <f t="shared" si="30"/>
        <v>-6.702</v>
      </c>
      <c r="M37" s="27">
        <f t="shared" si="30"/>
        <v>0.26500000000000012</v>
      </c>
      <c r="N37" s="27">
        <f t="shared" si="30"/>
        <v>4.524</v>
      </c>
      <c r="O37" s="27">
        <f t="shared" si="30"/>
        <v>-1.4669999999999999</v>
      </c>
      <c r="P37" s="27">
        <f t="shared" si="30"/>
        <v>4.0609999999999999</v>
      </c>
      <c r="Q37" s="27">
        <f t="shared" si="30"/>
        <v>5.6989999999999998</v>
      </c>
      <c r="R37" s="27">
        <f t="shared" si="30"/>
        <v>7.1159999999999997</v>
      </c>
      <c r="S37" s="27">
        <f t="shared" si="30"/>
        <v>-1.6800000000000002</v>
      </c>
      <c r="T37" s="27">
        <f t="shared" si="30"/>
        <v>-18.904999999999998</v>
      </c>
      <c r="U37" s="27">
        <f t="shared" si="30"/>
        <v>9.3870000000000005</v>
      </c>
      <c r="V37" s="27">
        <f t="shared" si="30"/>
        <v>2.5</v>
      </c>
      <c r="W37" s="27">
        <f t="shared" si="30"/>
        <v>4.6499999999999995</v>
      </c>
      <c r="X37" s="27">
        <f t="shared" si="30"/>
        <v>5.6639999999999997</v>
      </c>
      <c r="Y37" s="27">
        <f t="shared" si="30"/>
        <v>2.6509999999999998</v>
      </c>
      <c r="AB37" s="33"/>
      <c r="AC37" s="33"/>
    </row>
    <row r="38" spans="1:30">
      <c r="B38" s="33"/>
      <c r="AB38" s="27"/>
      <c r="AC38" s="17"/>
      <c r="AD38" s="103"/>
    </row>
    <row r="39" spans="1:30" s="35" customFormat="1">
      <c r="A39" s="34" t="s">
        <v>70</v>
      </c>
      <c r="B39" s="20">
        <v>33.799999999999997</v>
      </c>
      <c r="C39" s="20">
        <v>33.799999999999997</v>
      </c>
      <c r="D39" s="20">
        <v>33.799999999999997</v>
      </c>
      <c r="E39" s="20">
        <v>25.9</v>
      </c>
      <c r="F39" s="20">
        <v>25.9</v>
      </c>
      <c r="G39" s="20">
        <v>8</v>
      </c>
      <c r="H39" s="20">
        <v>0</v>
      </c>
      <c r="I39" s="20">
        <v>0</v>
      </c>
      <c r="J39" s="20">
        <v>0</v>
      </c>
      <c r="K39" s="20">
        <v>0</v>
      </c>
      <c r="L39" s="20">
        <v>0</v>
      </c>
      <c r="M39" s="20">
        <v>0</v>
      </c>
      <c r="N39" s="20">
        <v>0</v>
      </c>
      <c r="O39" s="20">
        <v>0</v>
      </c>
      <c r="P39" s="20">
        <v>0</v>
      </c>
      <c r="Q39" s="20">
        <v>0</v>
      </c>
      <c r="R39" s="20">
        <v>0</v>
      </c>
      <c r="S39" s="20">
        <v>0</v>
      </c>
      <c r="T39" s="20">
        <v>0</v>
      </c>
      <c r="U39" s="20">
        <v>0</v>
      </c>
      <c r="V39" s="20"/>
      <c r="W39" s="20"/>
      <c r="X39" s="20"/>
      <c r="Y39" s="20"/>
      <c r="Z39" s="33"/>
      <c r="AA39" s="33"/>
    </row>
    <row r="40" spans="1:30" s="35" customFormat="1">
      <c r="A40" s="34" t="s">
        <v>71</v>
      </c>
      <c r="B40" s="20">
        <f>231.525+2.45+12.811</f>
        <v>246.786</v>
      </c>
      <c r="C40" s="20">
        <f>232.137+2.45+12.461</f>
        <v>247.048</v>
      </c>
      <c r="D40" s="20">
        <v>235.2</v>
      </c>
      <c r="E40" s="20">
        <v>235.81200000000001</v>
      </c>
      <c r="F40" s="20">
        <v>236.42500000000001</v>
      </c>
      <c r="G40" s="20">
        <f>2.45+234.587</f>
        <v>237.03699999999998</v>
      </c>
      <c r="H40" s="20">
        <f>237.65</f>
        <v>237.65</v>
      </c>
      <c r="I40" s="20">
        <v>241.45099999999999</v>
      </c>
      <c r="J40" s="20">
        <v>241.70599999999999</v>
      </c>
      <c r="K40" s="20">
        <f>239.487+2.831</f>
        <v>242.31799999999998</v>
      </c>
      <c r="L40" s="20">
        <f>240.019</f>
        <v>240.01900000000001</v>
      </c>
      <c r="M40" s="20">
        <f>240.019</f>
        <v>240.01900000000001</v>
      </c>
      <c r="N40" s="20">
        <v>240.69800000000001</v>
      </c>
      <c r="O40" s="20">
        <v>241.93799999999999</v>
      </c>
      <c r="P40" s="20">
        <v>242.55</v>
      </c>
      <c r="Q40" s="20">
        <v>243.16299999999998</v>
      </c>
      <c r="R40" s="20">
        <v>243.77500000000001</v>
      </c>
      <c r="S40" s="20">
        <v>244.38800000000001</v>
      </c>
      <c r="T40" s="20">
        <v>245</v>
      </c>
      <c r="U40" s="20">
        <v>245</v>
      </c>
      <c r="V40" s="20"/>
      <c r="W40" s="20"/>
      <c r="X40" s="20"/>
      <c r="Y40" s="20"/>
      <c r="Z40" s="33"/>
      <c r="AA40" s="33"/>
    </row>
    <row r="41" spans="1:30" s="35" customFormat="1">
      <c r="A41" s="34" t="s">
        <v>72</v>
      </c>
      <c r="B41" s="20">
        <f>+B39+B40+99.259</f>
        <v>379.84500000000003</v>
      </c>
      <c r="C41" s="20">
        <f>C39+C40+99.259</f>
        <v>380.10700000000003</v>
      </c>
      <c r="D41" s="20">
        <f>D39+D40+99.3</f>
        <v>368.3</v>
      </c>
      <c r="E41" s="20">
        <f>E39+E40+99.259</f>
        <v>360.971</v>
      </c>
      <c r="F41" s="20">
        <f>F39+F40+99.259</f>
        <v>361.584</v>
      </c>
      <c r="G41" s="20">
        <f>G39+G40+99.259</f>
        <v>344.29599999999999</v>
      </c>
      <c r="H41" s="20">
        <f t="shared" ref="H41:M41" si="31">H39+H40+99.259</f>
        <v>336.90899999999999</v>
      </c>
      <c r="I41" s="20">
        <f t="shared" si="31"/>
        <v>340.71</v>
      </c>
      <c r="J41" s="20">
        <f t="shared" si="31"/>
        <v>340.96499999999997</v>
      </c>
      <c r="K41" s="20">
        <f t="shared" si="31"/>
        <v>341.577</v>
      </c>
      <c r="L41" s="20">
        <f t="shared" si="31"/>
        <v>339.27800000000002</v>
      </c>
      <c r="M41" s="20">
        <f t="shared" si="31"/>
        <v>339.27800000000002</v>
      </c>
      <c r="N41" s="20">
        <v>339.95699999999999</v>
      </c>
      <c r="O41" s="20">
        <f>O39+O40+100</f>
        <v>341.93799999999999</v>
      </c>
      <c r="P41" s="20">
        <f>P39+P40+100</f>
        <v>342.55</v>
      </c>
      <c r="Q41" s="20">
        <v>343.16300000000001</v>
      </c>
      <c r="R41" s="20">
        <f>R39+R40+100</f>
        <v>343.77499999999998</v>
      </c>
      <c r="S41" s="20">
        <f>S39+S40+100</f>
        <v>344.38800000000003</v>
      </c>
      <c r="T41" s="20">
        <f>T39+T40+100</f>
        <v>345</v>
      </c>
      <c r="U41" s="20">
        <f>U39+U40+100</f>
        <v>345</v>
      </c>
      <c r="V41" s="20"/>
      <c r="W41" s="20"/>
      <c r="X41" s="20"/>
      <c r="Y41" s="20"/>
      <c r="Z41" s="33"/>
      <c r="AA41" s="33"/>
    </row>
    <row r="42" spans="1:30" s="35" customFormat="1">
      <c r="A42" s="34" t="s">
        <v>73</v>
      </c>
      <c r="B42" s="36">
        <v>327.7</v>
      </c>
      <c r="C42" s="36">
        <v>327.7</v>
      </c>
      <c r="D42" s="36">
        <v>327.7</v>
      </c>
      <c r="E42" s="36">
        <v>0</v>
      </c>
      <c r="F42" s="36">
        <v>0</v>
      </c>
      <c r="G42" s="36">
        <v>0</v>
      </c>
      <c r="H42" s="36">
        <v>0</v>
      </c>
      <c r="I42" s="36">
        <v>0</v>
      </c>
      <c r="J42" s="36">
        <v>0</v>
      </c>
      <c r="K42" s="36">
        <v>0</v>
      </c>
      <c r="L42" s="36">
        <v>0</v>
      </c>
      <c r="M42" s="36">
        <v>0</v>
      </c>
      <c r="N42" s="36">
        <v>0</v>
      </c>
      <c r="O42" s="36">
        <v>0</v>
      </c>
      <c r="P42" s="36">
        <v>0</v>
      </c>
      <c r="Q42" s="36">
        <v>0</v>
      </c>
      <c r="R42" s="36">
        <v>0</v>
      </c>
      <c r="S42" s="36">
        <v>0</v>
      </c>
      <c r="T42" s="36">
        <v>0</v>
      </c>
      <c r="U42" s="36">
        <v>0</v>
      </c>
      <c r="V42" s="36"/>
      <c r="W42" s="36"/>
      <c r="X42" s="36"/>
      <c r="Y42" s="36"/>
      <c r="AA42" s="33"/>
    </row>
    <row r="43" spans="1:30">
      <c r="B43" s="35"/>
      <c r="C43" s="35"/>
      <c r="D43" s="35"/>
      <c r="E43" s="35"/>
      <c r="F43" s="35"/>
      <c r="G43" s="35"/>
      <c r="H43" s="35"/>
      <c r="I43" s="35"/>
      <c r="J43" s="35"/>
      <c r="K43" s="35"/>
      <c r="L43" s="35"/>
      <c r="M43" s="35"/>
      <c r="N43" s="35"/>
      <c r="O43" s="35"/>
      <c r="P43" s="35"/>
      <c r="Q43" s="35"/>
      <c r="R43" s="35"/>
      <c r="S43" s="35"/>
      <c r="T43" s="35"/>
    </row>
    <row r="44" spans="1:30">
      <c r="A44" s="19" t="s">
        <v>74</v>
      </c>
      <c r="B44" s="28">
        <v>16.03</v>
      </c>
      <c r="C44" s="28">
        <v>24.476811999999999</v>
      </c>
      <c r="D44" s="28">
        <v>28.7</v>
      </c>
      <c r="E44" s="28">
        <v>22.501000000000001</v>
      </c>
      <c r="F44" s="28">
        <v>25.64</v>
      </c>
      <c r="G44" s="28">
        <v>17.029</v>
      </c>
      <c r="H44" s="28">
        <v>13.859</v>
      </c>
      <c r="I44" s="28">
        <v>8.2550000000000008</v>
      </c>
      <c r="J44" s="28">
        <v>10.196999999999999</v>
      </c>
      <c r="K44" s="28">
        <v>12.15</v>
      </c>
      <c r="L44" s="28">
        <v>16.832999999999998</v>
      </c>
      <c r="M44" s="28">
        <v>23.524000000000001</v>
      </c>
      <c r="N44" s="28">
        <v>23.26</v>
      </c>
      <c r="O44" s="28">
        <v>21.376999999999999</v>
      </c>
      <c r="P44" s="28">
        <v>23.35</v>
      </c>
      <c r="Q44" s="28">
        <v>19.850999999999999</v>
      </c>
      <c r="R44" s="28">
        <v>14.76</v>
      </c>
      <c r="S44" s="28">
        <v>8.2539999999999996</v>
      </c>
      <c r="T44" s="28">
        <v>10.545999999999999</v>
      </c>
      <c r="U44" s="28">
        <v>21.402999999999999</v>
      </c>
      <c r="V44" s="28"/>
      <c r="W44" s="28"/>
      <c r="X44" s="28"/>
      <c r="Y44" s="28"/>
    </row>
    <row r="46" spans="1:30">
      <c r="A46" s="14" t="s">
        <v>75</v>
      </c>
      <c r="B46" s="33">
        <f t="shared" ref="B46:V46" si="32">SUM(B12:E12)</f>
        <v>235.40100000000001</v>
      </c>
      <c r="C46" s="33">
        <f t="shared" si="32"/>
        <v>223.23600000000002</v>
      </c>
      <c r="D46" s="33">
        <f t="shared" si="32"/>
        <v>214.07400000000001</v>
      </c>
      <c r="E46" s="33">
        <f t="shared" si="32"/>
        <v>201.47</v>
      </c>
      <c r="F46" s="33">
        <f t="shared" si="32"/>
        <v>187.62200000000001</v>
      </c>
      <c r="G46" s="33">
        <f t="shared" si="32"/>
        <v>185.51099999999997</v>
      </c>
      <c r="H46" s="33">
        <f t="shared" si="32"/>
        <v>184.87499999999997</v>
      </c>
      <c r="I46" s="33">
        <f t="shared" si="32"/>
        <v>187.084</v>
      </c>
      <c r="J46" s="33">
        <f t="shared" si="32"/>
        <v>187.101</v>
      </c>
      <c r="K46" s="33">
        <f t="shared" si="32"/>
        <v>185.55900000000003</v>
      </c>
      <c r="L46" s="33">
        <f t="shared" si="32"/>
        <v>192.00700000000003</v>
      </c>
      <c r="M46" s="33">
        <f t="shared" si="32"/>
        <v>191.11</v>
      </c>
      <c r="N46" s="33">
        <f t="shared" si="32"/>
        <v>188.23000000000002</v>
      </c>
      <c r="O46" s="33">
        <f t="shared" si="32"/>
        <v>188.75800000000001</v>
      </c>
      <c r="P46" s="33">
        <f t="shared" si="32"/>
        <v>187.25300000000001</v>
      </c>
      <c r="Q46" s="33">
        <f t="shared" si="32"/>
        <v>185.054</v>
      </c>
      <c r="R46" s="33">
        <f t="shared" si="32"/>
        <v>188.86900000000003</v>
      </c>
      <c r="S46" s="33">
        <f t="shared" si="32"/>
        <v>191.16399999999999</v>
      </c>
      <c r="T46" s="33">
        <f t="shared" si="32"/>
        <v>192.988</v>
      </c>
      <c r="U46" s="33">
        <f t="shared" si="32"/>
        <v>196.13900000000001</v>
      </c>
      <c r="V46" s="33">
        <f t="shared" si="32"/>
        <v>193.73900000000003</v>
      </c>
    </row>
    <row r="47" spans="1:30">
      <c r="A47" s="14" t="s">
        <v>76</v>
      </c>
      <c r="B47" s="33">
        <f t="shared" ref="B47" si="33">+B27</f>
        <v>52.780284999999999</v>
      </c>
      <c r="C47" s="33">
        <f t="shared" ref="C47:D47" si="34">+C27</f>
        <v>57.436889000000001</v>
      </c>
      <c r="D47" s="33">
        <f t="shared" si="34"/>
        <v>54.7</v>
      </c>
      <c r="E47" s="33">
        <f t="shared" ref="E47:F47" si="35">+E27</f>
        <v>49.469400999999998</v>
      </c>
      <c r="F47" s="33">
        <f t="shared" si="35"/>
        <v>44.091000000000001</v>
      </c>
      <c r="G47" s="33">
        <f t="shared" ref="G47:H47" si="36">+G27</f>
        <v>44.088999999999999</v>
      </c>
      <c r="H47" s="33">
        <f t="shared" si="36"/>
        <v>47.88</v>
      </c>
      <c r="I47" s="33">
        <f t="shared" ref="I47:J47" si="37">+I27</f>
        <v>47.481999999999999</v>
      </c>
      <c r="J47" s="33">
        <f t="shared" si="37"/>
        <v>49.724709000000004</v>
      </c>
      <c r="K47" s="33">
        <f t="shared" ref="K47:P47" si="38">+K27</f>
        <v>50.771709000000001</v>
      </c>
      <c r="L47" s="33">
        <f t="shared" si="38"/>
        <v>57.666708999999997</v>
      </c>
      <c r="M47" s="33">
        <f t="shared" si="38"/>
        <v>57.414709000000002</v>
      </c>
      <c r="N47" s="33">
        <f t="shared" si="38"/>
        <v>57.423999999999999</v>
      </c>
      <c r="O47" s="33">
        <f t="shared" si="38"/>
        <v>57.033000000000001</v>
      </c>
      <c r="P47" s="33">
        <f t="shared" si="38"/>
        <v>54.847999999999999</v>
      </c>
      <c r="Q47" s="33">
        <f t="shared" ref="Q47:V47" si="39">+Q27</f>
        <v>54.545000000000002</v>
      </c>
      <c r="R47" s="33">
        <f t="shared" si="39"/>
        <v>57.044000000000004</v>
      </c>
      <c r="S47" s="33">
        <f t="shared" si="39"/>
        <v>57.594999999999999</v>
      </c>
      <c r="T47" s="33">
        <f t="shared" si="39"/>
        <v>57.366999999999997</v>
      </c>
      <c r="U47" s="33">
        <f t="shared" si="39"/>
        <v>59.018000000000001</v>
      </c>
      <c r="V47" s="33">
        <f t="shared" si="39"/>
        <v>56.39</v>
      </c>
    </row>
    <row r="48" spans="1:30">
      <c r="A48" s="14" t="s">
        <v>77</v>
      </c>
      <c r="B48" s="33">
        <f t="shared" ref="B48:V48" si="40">+SUM(B37:E37)</f>
        <v>-31.791000000000004</v>
      </c>
      <c r="C48" s="33">
        <f t="shared" si="40"/>
        <v>-31.935000000000002</v>
      </c>
      <c r="D48" s="33">
        <f t="shared" si="40"/>
        <v>-22.555</v>
      </c>
      <c r="E48" s="33">
        <f t="shared" si="40"/>
        <v>-37.426000000000002</v>
      </c>
      <c r="F48" s="33">
        <f t="shared" si="40"/>
        <v>-36.768000000000001</v>
      </c>
      <c r="G48" s="33">
        <f t="shared" si="40"/>
        <v>-27.788000000000004</v>
      </c>
      <c r="H48" s="33">
        <f t="shared" si="40"/>
        <v>-20.024000000000001</v>
      </c>
      <c r="I48" s="33">
        <f t="shared" si="40"/>
        <v>-11.855</v>
      </c>
      <c r="J48" s="33">
        <f t="shared" si="40"/>
        <v>-10.283999999999999</v>
      </c>
      <c r="K48" s="33">
        <f t="shared" si="40"/>
        <v>-6.0639999999999992</v>
      </c>
      <c r="L48" s="33">
        <f t="shared" si="40"/>
        <v>-3.379999999999999</v>
      </c>
      <c r="M48" s="33">
        <f t="shared" si="40"/>
        <v>7.383</v>
      </c>
      <c r="N48" s="33">
        <f t="shared" si="40"/>
        <v>12.817</v>
      </c>
      <c r="O48" s="33">
        <f t="shared" si="40"/>
        <v>15.408999999999999</v>
      </c>
      <c r="P48" s="33">
        <f t="shared" si="40"/>
        <v>15.195999999999998</v>
      </c>
      <c r="Q48" s="33">
        <f t="shared" si="40"/>
        <v>-7.7699999999999978</v>
      </c>
      <c r="R48" s="33">
        <f t="shared" si="40"/>
        <v>-4.0819999999999972</v>
      </c>
      <c r="S48" s="33">
        <f t="shared" si="40"/>
        <v>-8.6979999999999968</v>
      </c>
      <c r="T48" s="33">
        <f t="shared" si="40"/>
        <v>-2.3679999999999977</v>
      </c>
      <c r="U48" s="33">
        <f t="shared" si="40"/>
        <v>22.201000000000001</v>
      </c>
      <c r="V48" s="33">
        <f t="shared" si="40"/>
        <v>15.465</v>
      </c>
    </row>
    <row r="49" spans="1:25">
      <c r="B49" s="104"/>
      <c r="C49" s="104"/>
      <c r="D49" s="104"/>
      <c r="E49" s="104"/>
      <c r="F49" s="104"/>
      <c r="G49" s="104"/>
      <c r="H49" s="104"/>
      <c r="I49" s="104"/>
      <c r="J49" s="104"/>
      <c r="K49" s="104"/>
      <c r="L49" s="104"/>
      <c r="M49" s="104"/>
    </row>
    <row r="50" spans="1:25" s="37" customFormat="1">
      <c r="A50" s="37" t="s">
        <v>78</v>
      </c>
      <c r="B50" s="37">
        <f t="shared" ref="B50" si="41">+SUM(B39:B40)/B47</f>
        <v>5.3161137724057381</v>
      </c>
      <c r="C50" s="37">
        <f t="shared" ref="C50:D50" si="42">+SUM(C39:C40)/C47</f>
        <v>4.889679871066833</v>
      </c>
      <c r="D50" s="37">
        <f t="shared" si="42"/>
        <v>4.9177330895795244</v>
      </c>
      <c r="E50" s="37">
        <f t="shared" ref="E50:F50" si="43">+SUM(E39:E40)/E47</f>
        <v>5.290381421840948</v>
      </c>
      <c r="F50" s="37">
        <f t="shared" si="43"/>
        <v>5.9496269079857562</v>
      </c>
      <c r="G50" s="37">
        <f t="shared" ref="G50:H50" si="44">+SUM(G39:G40)/G47</f>
        <v>5.5577808523668031</v>
      </c>
      <c r="H50" s="37">
        <f t="shared" si="44"/>
        <v>4.9634502923976607</v>
      </c>
      <c r="I50" s="37">
        <f t="shared" ref="I50:J50" si="45">+SUM(I39:I40)/I47</f>
        <v>5.0851059348805858</v>
      </c>
      <c r="J50" s="37">
        <f t="shared" si="45"/>
        <v>4.8608831476520047</v>
      </c>
      <c r="K50" s="37">
        <f t="shared" ref="K50:L50" si="46">+SUM(K39:K40)/K47</f>
        <v>4.7726973303183469</v>
      </c>
      <c r="L50" s="37">
        <f t="shared" si="46"/>
        <v>4.1621761352811033</v>
      </c>
      <c r="M50" s="37">
        <f t="shared" ref="M50:N50" si="47">+SUM(M39:M40)/M47</f>
        <v>4.1804444223517701</v>
      </c>
      <c r="N50" s="37">
        <f t="shared" si="47"/>
        <v>4.191592365561438</v>
      </c>
      <c r="O50" s="37">
        <f t="shared" ref="O50:U50" si="48">+SUM(O39:O40)/O47</f>
        <v>4.2420703803061386</v>
      </c>
      <c r="P50" s="37">
        <f t="shared" si="48"/>
        <v>4.422221411901984</v>
      </c>
      <c r="Q50" s="37">
        <f t="shared" si="48"/>
        <v>4.4580254835456961</v>
      </c>
      <c r="R50" s="37">
        <f t="shared" si="48"/>
        <v>4.2734555781501999</v>
      </c>
      <c r="S50" s="37">
        <f t="shared" si="48"/>
        <v>4.243215556905982</v>
      </c>
      <c r="T50" s="37">
        <f t="shared" si="48"/>
        <v>4.2707479910052824</v>
      </c>
      <c r="U50" s="37">
        <f t="shared" si="48"/>
        <v>4.1512758819343247</v>
      </c>
    </row>
    <row r="51" spans="1:25" s="37" customFormat="1">
      <c r="A51" s="37" t="s">
        <v>79</v>
      </c>
      <c r="B51" s="37">
        <f t="shared" ref="B51" si="49">+B41/B47</f>
        <v>7.1967212757566585</v>
      </c>
      <c r="C51" s="37">
        <f t="shared" ref="C51:D51" si="50">+C41/C47</f>
        <v>6.6178201260169232</v>
      </c>
      <c r="D51" s="37">
        <f t="shared" si="50"/>
        <v>6.7330895795246803</v>
      </c>
      <c r="E51" s="37">
        <f t="shared" ref="E51:F51" si="51">+E41/E47</f>
        <v>7.2968540694479005</v>
      </c>
      <c r="F51" s="37">
        <f t="shared" si="51"/>
        <v>8.2008573178199633</v>
      </c>
      <c r="G51" s="37">
        <f t="shared" ref="G51:H51" si="52">+G41/G47</f>
        <v>7.8091133842908667</v>
      </c>
      <c r="H51" s="37">
        <f t="shared" si="52"/>
        <v>7.0365288220551374</v>
      </c>
      <c r="I51" s="37">
        <f t="shared" ref="I51:J51" si="53">+I41/I47</f>
        <v>7.175561265321595</v>
      </c>
      <c r="J51" s="37">
        <f t="shared" si="53"/>
        <v>6.8570537034213705</v>
      </c>
      <c r="K51" s="37">
        <f t="shared" ref="K51:L51" si="54">+K41/K47</f>
        <v>6.7277034145137797</v>
      </c>
      <c r="L51" s="37">
        <f t="shared" si="54"/>
        <v>5.8834292069623748</v>
      </c>
      <c r="M51" s="37">
        <f t="shared" ref="M51:U51" si="55">+M41/M47</f>
        <v>5.9092522788890216</v>
      </c>
      <c r="N51" s="37">
        <f t="shared" si="55"/>
        <v>5.9201205071050431</v>
      </c>
      <c r="O51" s="37">
        <f t="shared" si="55"/>
        <v>5.9954412357757789</v>
      </c>
      <c r="P51" s="37">
        <f t="shared" si="55"/>
        <v>6.2454419486581099</v>
      </c>
      <c r="Q51" s="37">
        <f t="shared" si="55"/>
        <v>6.291374094784123</v>
      </c>
      <c r="R51" s="37">
        <f t="shared" si="55"/>
        <v>6.0264883248019068</v>
      </c>
      <c r="S51" s="37">
        <f t="shared" si="55"/>
        <v>5.9794773851896874</v>
      </c>
      <c r="T51" s="37">
        <f t="shared" si="55"/>
        <v>6.0139104363135605</v>
      </c>
      <c r="U51" s="37">
        <f t="shared" si="55"/>
        <v>5.8456742010911924</v>
      </c>
    </row>
    <row r="52" spans="1:25" s="37" customFormat="1">
      <c r="A52" s="37" t="s">
        <v>80</v>
      </c>
      <c r="B52" s="37">
        <f t="shared" ref="B52" si="56">+(B41-B44)/B47</f>
        <v>6.8930093878803431</v>
      </c>
      <c r="C52" s="37">
        <f t="shared" ref="C52:D52" si="57">+(C41-C44)/C47</f>
        <v>6.1916687026694648</v>
      </c>
      <c r="D52" s="37">
        <f t="shared" si="57"/>
        <v>6.2084095063985378</v>
      </c>
      <c r="E52" s="37">
        <f t="shared" ref="E52:F52" si="58">+(E41-E44)/E47</f>
        <v>6.8420072440335398</v>
      </c>
      <c r="F52" s="37">
        <f t="shared" si="58"/>
        <v>7.6193327436438274</v>
      </c>
      <c r="G52" s="37">
        <f t="shared" ref="G52:H52" si="59">+(G41-G44)/G47</f>
        <v>7.4228719181655292</v>
      </c>
      <c r="H52" s="37">
        <f t="shared" si="59"/>
        <v>6.7470760233918128</v>
      </c>
      <c r="I52" s="37">
        <f t="shared" ref="I52:J52" si="60">+(I41-I44)/I47</f>
        <v>7.0017059096078516</v>
      </c>
      <c r="J52" s="37">
        <f t="shared" si="60"/>
        <v>6.6519846300156313</v>
      </c>
      <c r="K52" s="37">
        <f t="shared" ref="K52:L52" si="61">+(K41-K44)/K47</f>
        <v>6.4883969141160884</v>
      </c>
      <c r="L52" s="37">
        <f t="shared" si="61"/>
        <v>5.5915276871444162</v>
      </c>
      <c r="M52" s="37">
        <f t="shared" ref="M52:U52" si="62">+(M41-M44)/M47</f>
        <v>5.4995314876541483</v>
      </c>
      <c r="N52" s="37">
        <f t="shared" si="62"/>
        <v>5.5150633881303985</v>
      </c>
      <c r="O52" s="37">
        <f t="shared" si="62"/>
        <v>5.620623148002033</v>
      </c>
      <c r="P52" s="37">
        <f t="shared" si="62"/>
        <v>5.8197199533255546</v>
      </c>
      <c r="Q52" s="37">
        <f t="shared" si="62"/>
        <v>5.9274360619671835</v>
      </c>
      <c r="R52" s="37">
        <f t="shared" si="62"/>
        <v>5.7677406913961144</v>
      </c>
      <c r="S52" s="37">
        <f t="shared" si="62"/>
        <v>5.83616633388315</v>
      </c>
      <c r="T52" s="37">
        <f t="shared" si="62"/>
        <v>5.8300765248313491</v>
      </c>
      <c r="U52" s="37">
        <f t="shared" si="62"/>
        <v>5.4830221288420482</v>
      </c>
    </row>
    <row r="53" spans="1:25" s="38" customFormat="1">
      <c r="A53" s="38" t="s">
        <v>81</v>
      </c>
      <c r="B53" s="38">
        <f t="shared" ref="B53" si="63">+B48/B41</f>
        <v>-8.3694664929115828E-2</v>
      </c>
      <c r="C53" s="38">
        <f t="shared" ref="C53:D53" si="64">+C48/C41</f>
        <v>-8.4015816599010279E-2</v>
      </c>
      <c r="D53" s="38">
        <f t="shared" si="64"/>
        <v>-6.1240836274775994E-2</v>
      </c>
      <c r="E53" s="38">
        <f t="shared" ref="E53:F53" si="65">+E48/E41</f>
        <v>-0.10368145917539083</v>
      </c>
      <c r="F53" s="38">
        <f t="shared" si="65"/>
        <v>-0.10168591530598699</v>
      </c>
      <c r="G53" s="38">
        <f t="shared" ref="G53:H53" si="66">+G48/G41</f>
        <v>-8.0709621953203067E-2</v>
      </c>
      <c r="H53" s="38">
        <f t="shared" si="66"/>
        <v>-5.9434446690352589E-2</v>
      </c>
      <c r="I53" s="38">
        <f t="shared" ref="I53:J53" si="67">+I48/I41</f>
        <v>-3.4794986939039069E-2</v>
      </c>
      <c r="J53" s="38">
        <f t="shared" si="67"/>
        <v>-3.0161453521622451E-2</v>
      </c>
      <c r="K53" s="38">
        <f t="shared" ref="K53:L53" si="68">+K48/K41</f>
        <v>-1.7752951750264215E-2</v>
      </c>
      <c r="L53" s="38">
        <f t="shared" si="68"/>
        <v>-9.9623317751224624E-3</v>
      </c>
      <c r="M53" s="38">
        <f t="shared" ref="M53:U53" si="69">+M48/M41</f>
        <v>2.1760915827138804E-2</v>
      </c>
      <c r="N53" s="38">
        <f t="shared" si="69"/>
        <v>3.7701826995767115E-2</v>
      </c>
      <c r="O53" s="38">
        <f t="shared" si="69"/>
        <v>4.5063725002778277E-2</v>
      </c>
      <c r="P53" s="38">
        <f t="shared" si="69"/>
        <v>4.4361407093854902E-2</v>
      </c>
      <c r="Q53" s="38">
        <f t="shared" si="69"/>
        <v>-2.2642301180488565E-2</v>
      </c>
      <c r="R53" s="38">
        <f t="shared" si="69"/>
        <v>-1.1874045523961886E-2</v>
      </c>
      <c r="S53" s="38">
        <f t="shared" si="69"/>
        <v>-2.5256396854710372E-2</v>
      </c>
      <c r="T53" s="38">
        <f t="shared" si="69"/>
        <v>-6.8637681159420226E-3</v>
      </c>
      <c r="U53" s="38">
        <f t="shared" si="69"/>
        <v>6.4350724637681156E-2</v>
      </c>
    </row>
    <row r="54" spans="1:25" s="38" customFormat="1">
      <c r="A54" s="39" t="s">
        <v>82</v>
      </c>
      <c r="B54" s="40">
        <v>10.8</v>
      </c>
      <c r="C54" s="40">
        <v>10.8</v>
      </c>
      <c r="D54" s="40">
        <v>10.8</v>
      </c>
      <c r="E54" s="40">
        <v>10.8</v>
      </c>
      <c r="F54" s="40">
        <v>10.8</v>
      </c>
      <c r="G54" s="40">
        <v>10.8</v>
      </c>
      <c r="H54" s="40">
        <v>10.8</v>
      </c>
      <c r="I54" s="40">
        <v>10.8</v>
      </c>
      <c r="J54" s="40">
        <v>10.8</v>
      </c>
      <c r="K54" s="40">
        <v>10.8</v>
      </c>
      <c r="L54" s="40">
        <v>10.8</v>
      </c>
      <c r="M54" s="40">
        <v>10.8</v>
      </c>
      <c r="N54" s="40">
        <v>10.8</v>
      </c>
      <c r="O54" s="40">
        <v>10.8</v>
      </c>
      <c r="P54" s="40">
        <v>10.8</v>
      </c>
      <c r="Q54" s="40">
        <v>10.8</v>
      </c>
      <c r="R54" s="40">
        <v>10.8</v>
      </c>
      <c r="S54" s="40">
        <v>10.8</v>
      </c>
      <c r="T54" s="40">
        <v>10.8</v>
      </c>
      <c r="U54" s="40">
        <v>10.8</v>
      </c>
      <c r="V54" s="40"/>
      <c r="W54" s="39"/>
      <c r="X54" s="39"/>
      <c r="Y54" s="39"/>
    </row>
    <row r="55" spans="1:25" s="38" customFormat="1">
      <c r="A55" s="38" t="s">
        <v>83</v>
      </c>
      <c r="B55" s="41">
        <f t="shared" ref="B55" si="70">IF(B42=0,IF(B54="","","*"&amp;TEXT(B54,"0.0x")),(B41+B42-B44)/B47)</f>
        <v>13.101767070791681</v>
      </c>
      <c r="C55" s="41">
        <f t="shared" ref="C55:D55" si="71">IF(C42=0,IF(C54="","","*"&amp;TEXT(C54,"0.0x")),(C41+C42-C44)/C47)</f>
        <v>11.897061277117569</v>
      </c>
      <c r="D55" s="41">
        <f t="shared" si="71"/>
        <v>12.199268738574039</v>
      </c>
      <c r="E55" s="41" t="str">
        <f t="shared" ref="E55:F55" si="72">IF(E42=0,IF(E54="","","*"&amp;TEXT(E54,"0.0x")),(E41+E42-E44)/E47)</f>
        <v>*10.8x</v>
      </c>
      <c r="F55" s="41" t="str">
        <f t="shared" si="72"/>
        <v>*10.8x</v>
      </c>
      <c r="G55" s="41" t="str">
        <f t="shared" ref="G55:H55" si="73">IF(G42=0,IF(G54="","","*"&amp;TEXT(G54,"0.0x")),(G41+G42-G44)/G47)</f>
        <v>*10.8x</v>
      </c>
      <c r="H55" s="41" t="str">
        <f t="shared" si="73"/>
        <v>*10.8x</v>
      </c>
      <c r="I55" s="41" t="str">
        <f t="shared" ref="I55:J55" si="74">IF(I42=0,IF(I54="","","*"&amp;TEXT(I54,"0.0x")),(I41+I42-I44)/I47)</f>
        <v>*10.8x</v>
      </c>
      <c r="J55" s="41" t="str">
        <f t="shared" si="74"/>
        <v>*10.8x</v>
      </c>
      <c r="K55" s="41" t="str">
        <f t="shared" ref="K55:P55" si="75">IF(K42=0,IF(K54="","","*"&amp;TEXT(K54,"0.0x")),(K41+K42-K44)/K47)</f>
        <v>*10.8x</v>
      </c>
      <c r="L55" s="41" t="str">
        <f t="shared" si="75"/>
        <v>*10.8x</v>
      </c>
      <c r="M55" s="41" t="str">
        <f t="shared" si="75"/>
        <v>*10.8x</v>
      </c>
      <c r="N55" s="41" t="str">
        <f t="shared" si="75"/>
        <v>*10.8x</v>
      </c>
      <c r="O55" s="41" t="str">
        <f t="shared" si="75"/>
        <v>*10.8x</v>
      </c>
      <c r="P55" s="41" t="str">
        <f t="shared" si="75"/>
        <v>*10.8x</v>
      </c>
      <c r="Q55" s="41" t="str">
        <f t="shared" ref="Q55:V55" si="76">IF(Q42=0,IF(Q54="","","*"&amp;TEXT(Q54,"0.0x")),(Q41+Q42-Q44)/Q47)</f>
        <v>*10.8x</v>
      </c>
      <c r="R55" s="41" t="str">
        <f t="shared" si="76"/>
        <v>*10.8x</v>
      </c>
      <c r="S55" s="41" t="str">
        <f t="shared" si="76"/>
        <v>*10.8x</v>
      </c>
      <c r="T55" s="41" t="str">
        <f t="shared" si="76"/>
        <v>*10.8x</v>
      </c>
      <c r="U55" s="41" t="str">
        <f t="shared" si="76"/>
        <v>*10.8x</v>
      </c>
      <c r="V55" s="41" t="str">
        <f t="shared" si="76"/>
        <v/>
      </c>
      <c r="W55" s="41" t="str">
        <f>IF(W42=0,IF(W54="","",CONCATENATE("* ",W54,"x")),(W41+W42-W44)/W47)</f>
        <v/>
      </c>
      <c r="X55" s="41" t="str">
        <f>IF(X42=0,IF(X54="","",CONCATENATE("* ",X54,"x")),(X41+X42-X44)/X47)</f>
        <v/>
      </c>
      <c r="Y55" s="41" t="str">
        <f>IF(Y42=0,IF(Y54="","",CONCATENATE("* ",Y54,"x")),(Y41+Y42-Y44)/Y47)</f>
        <v/>
      </c>
    </row>
    <row r="56" spans="1:25">
      <c r="V56" s="42"/>
    </row>
    <row r="57" spans="1:25" ht="80.25" customHeight="1">
      <c r="A57" s="43" t="s">
        <v>84</v>
      </c>
      <c r="B57" s="44" t="s">
        <v>289</v>
      </c>
      <c r="C57" s="44" t="s">
        <v>289</v>
      </c>
      <c r="D57" s="44" t="s">
        <v>289</v>
      </c>
      <c r="E57" s="44" t="s">
        <v>289</v>
      </c>
      <c r="F57" s="44" t="s">
        <v>289</v>
      </c>
      <c r="G57" s="44" t="s">
        <v>289</v>
      </c>
      <c r="H57" s="44" t="s">
        <v>289</v>
      </c>
      <c r="I57" s="44" t="s">
        <v>90</v>
      </c>
      <c r="J57" s="44" t="s">
        <v>90</v>
      </c>
      <c r="K57" s="44" t="s">
        <v>289</v>
      </c>
      <c r="L57" s="44" t="s">
        <v>289</v>
      </c>
      <c r="M57" s="44" t="s">
        <v>289</v>
      </c>
      <c r="N57" s="44" t="s">
        <v>90</v>
      </c>
      <c r="O57" s="44" t="s">
        <v>90</v>
      </c>
      <c r="P57" s="44" t="s">
        <v>90</v>
      </c>
      <c r="Q57" s="44" t="s">
        <v>90</v>
      </c>
      <c r="R57" s="44" t="s">
        <v>90</v>
      </c>
      <c r="S57" s="44"/>
      <c r="T57" s="44"/>
      <c r="U57" s="44"/>
      <c r="V57" s="44"/>
      <c r="W57" s="44"/>
      <c r="X57" s="44"/>
      <c r="Y57" s="44"/>
    </row>
    <row r="58" spans="1:25">
      <c r="A58" s="45"/>
      <c r="B58" s="42"/>
      <c r="C58" s="42"/>
      <c r="D58" s="42"/>
      <c r="E58" s="42"/>
      <c r="F58" s="42"/>
      <c r="G58" s="42"/>
      <c r="H58" s="42"/>
      <c r="I58" s="42"/>
      <c r="J58" s="42"/>
      <c r="K58" s="42"/>
      <c r="L58" s="42"/>
      <c r="M58" s="42"/>
      <c r="N58" s="42"/>
      <c r="O58" s="42"/>
      <c r="P58" s="42"/>
      <c r="Q58" s="42"/>
      <c r="R58" s="42"/>
    </row>
    <row r="59" spans="1:25">
      <c r="A59" s="45"/>
    </row>
  </sheetData>
  <pageMargins left="0.7" right="0.7" top="0.75" bottom="0.75" header="0.3" footer="0.3"/>
  <pageSetup orientation="portrait" r:id="rId1"/>
  <ignoredErrors>
    <ignoredError sqref="P46:X51 K46:O51 I52:O53 I46:J51 F46:G47 H46:H48 D46:E47 C46 B46:B54" formulaRange="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2:J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ColWidth="9.109375" defaultRowHeight="13.8"/>
  <cols>
    <col min="1" max="1" width="22.6640625" style="14" customWidth="1"/>
    <col min="2" max="10" width="10.6640625" style="14" customWidth="1"/>
    <col min="11" max="16384" width="9.109375" style="14"/>
  </cols>
  <sheetData>
    <row r="2" spans="1:10">
      <c r="A2" s="13" t="s">
        <v>44</v>
      </c>
      <c r="B2" s="9" t="s">
        <v>103</v>
      </c>
    </row>
    <row r="3" spans="1:10" s="16" customFormat="1">
      <c r="A3" s="15" t="s">
        <v>45</v>
      </c>
      <c r="B3" s="16" t="s">
        <v>104</v>
      </c>
    </row>
    <row r="4" spans="1:10">
      <c r="A4" s="13" t="s">
        <v>2</v>
      </c>
      <c r="B4" s="14" t="s">
        <v>4</v>
      </c>
    </row>
    <row r="5" spans="1:10">
      <c r="A5" s="13" t="s">
        <v>46</v>
      </c>
    </row>
    <row r="6" spans="1:10">
      <c r="A6" s="13" t="s">
        <v>47</v>
      </c>
      <c r="B6" s="14">
        <v>4</v>
      </c>
    </row>
    <row r="7" spans="1:10">
      <c r="A7" s="13" t="s">
        <v>48</v>
      </c>
      <c r="B7" s="14" t="e">
        <v>#N/A</v>
      </c>
    </row>
    <row r="8" spans="1:10">
      <c r="A8" s="13" t="s">
        <v>347</v>
      </c>
      <c r="B8" s="14" t="e">
        <v>#N/A</v>
      </c>
    </row>
    <row r="9" spans="1:10">
      <c r="A9" s="17"/>
    </row>
    <row r="10" spans="1:10">
      <c r="A10" s="17" t="s">
        <v>49</v>
      </c>
      <c r="B10" s="18">
        <v>43008</v>
      </c>
      <c r="C10" s="18">
        <v>42916</v>
      </c>
      <c r="D10" s="18">
        <v>42825</v>
      </c>
      <c r="E10" s="18">
        <v>42735</v>
      </c>
      <c r="F10" s="18">
        <v>42643</v>
      </c>
      <c r="G10" s="18">
        <v>42551</v>
      </c>
      <c r="H10" s="18">
        <v>42460</v>
      </c>
      <c r="I10" s="18">
        <v>42369</v>
      </c>
      <c r="J10" s="18">
        <v>42277</v>
      </c>
    </row>
    <row r="12" spans="1:10">
      <c r="A12" s="19" t="s">
        <v>50</v>
      </c>
      <c r="B12" s="20">
        <v>309.39999999999998</v>
      </c>
      <c r="C12" s="20">
        <v>287.5</v>
      </c>
      <c r="D12" s="20">
        <v>269.10000000000002</v>
      </c>
      <c r="E12" s="20">
        <v>287.60000000000002</v>
      </c>
      <c r="F12" s="20">
        <v>283.60000000000002</v>
      </c>
      <c r="G12" s="20">
        <v>323.7</v>
      </c>
      <c r="H12" s="20">
        <v>357.3</v>
      </c>
      <c r="I12" s="20">
        <v>396</v>
      </c>
      <c r="J12" s="20">
        <v>398.5</v>
      </c>
    </row>
    <row r="13" spans="1:10" s="21" customFormat="1">
      <c r="A13" s="21" t="s">
        <v>51</v>
      </c>
      <c r="B13" s="21">
        <f>+B12/F12-1</f>
        <v>9.097320169252443E-2</v>
      </c>
      <c r="C13" s="21">
        <f>+C12/G12-1</f>
        <v>-0.11183194315724432</v>
      </c>
      <c r="D13" s="21">
        <f>+D12/H12-1</f>
        <v>-0.24685138539042817</v>
      </c>
      <c r="E13" s="21">
        <f>+E12/I12-1</f>
        <v>-0.27373737373737372</v>
      </c>
      <c r="F13" s="21">
        <f>+F12/J12-1</f>
        <v>-0.2883312421580928</v>
      </c>
    </row>
    <row r="14" spans="1:10" s="24" customFormat="1">
      <c r="A14" s="22" t="s">
        <v>52</v>
      </c>
      <c r="B14" s="23" t="s">
        <v>3</v>
      </c>
      <c r="C14" s="23" t="s">
        <v>3</v>
      </c>
      <c r="D14" s="23" t="s">
        <v>3</v>
      </c>
      <c r="E14" s="23" t="s">
        <v>3</v>
      </c>
      <c r="F14" s="23" t="s">
        <v>3</v>
      </c>
      <c r="G14" s="22"/>
      <c r="H14" s="22"/>
      <c r="I14" s="22"/>
      <c r="J14" s="22"/>
    </row>
    <row r="16" spans="1:10" s="17" customFormat="1">
      <c r="A16" s="25" t="s">
        <v>53</v>
      </c>
      <c r="B16" s="26">
        <v>54.8</v>
      </c>
      <c r="C16" s="26">
        <v>50.9</v>
      </c>
      <c r="D16" s="26">
        <v>50.1</v>
      </c>
      <c r="E16" s="26">
        <v>60.1</v>
      </c>
      <c r="F16" s="26">
        <v>56.4</v>
      </c>
      <c r="G16" s="26">
        <v>75.2</v>
      </c>
      <c r="H16" s="26">
        <v>71.2</v>
      </c>
      <c r="I16" s="26">
        <v>79.099999999999994</v>
      </c>
      <c r="J16" s="26">
        <v>69.5</v>
      </c>
    </row>
    <row r="17" spans="1:10" s="21" customFormat="1">
      <c r="A17" s="21" t="s">
        <v>54</v>
      </c>
      <c r="B17" s="21">
        <f>+B16/B12</f>
        <v>0.17711700064641242</v>
      </c>
      <c r="C17" s="21">
        <f>+C16/C12</f>
        <v>0.17704347826086955</v>
      </c>
      <c r="D17" s="21">
        <f t="shared" ref="D17:J17" si="0">+D16/D12</f>
        <v>0.18617614269788182</v>
      </c>
      <c r="E17" s="21">
        <f t="shared" si="0"/>
        <v>0.20897079276773295</v>
      </c>
      <c r="F17" s="21">
        <f t="shared" si="0"/>
        <v>0.19887165021156555</v>
      </c>
      <c r="G17" s="21">
        <f t="shared" si="0"/>
        <v>0.23231387086808775</v>
      </c>
      <c r="H17" s="21">
        <f t="shared" si="0"/>
        <v>0.19927232017912119</v>
      </c>
      <c r="I17" s="21">
        <f t="shared" si="0"/>
        <v>0.19974747474747473</v>
      </c>
      <c r="J17" s="21">
        <f t="shared" si="0"/>
        <v>0.17440401505646172</v>
      </c>
    </row>
    <row r="18" spans="1:10" s="24" customFormat="1"/>
    <row r="19" spans="1:10" s="24" customFormat="1">
      <c r="A19" s="19" t="s">
        <v>55</v>
      </c>
      <c r="B19" s="20">
        <v>0</v>
      </c>
      <c r="C19" s="20">
        <v>0</v>
      </c>
      <c r="D19" s="20">
        <v>0</v>
      </c>
      <c r="E19" s="20">
        <v>0</v>
      </c>
      <c r="F19" s="20">
        <v>0</v>
      </c>
      <c r="G19" s="20">
        <v>0</v>
      </c>
      <c r="H19" s="20">
        <v>0</v>
      </c>
      <c r="I19" s="20">
        <v>0</v>
      </c>
      <c r="J19" s="20">
        <v>0</v>
      </c>
    </row>
    <row r="20" spans="1:10" s="24" customFormat="1">
      <c r="A20" s="19" t="s">
        <v>56</v>
      </c>
      <c r="B20" s="20">
        <v>0</v>
      </c>
      <c r="C20" s="20">
        <v>0</v>
      </c>
      <c r="D20" s="20">
        <v>0</v>
      </c>
      <c r="E20" s="20">
        <v>0</v>
      </c>
      <c r="F20" s="20">
        <v>0</v>
      </c>
      <c r="G20" s="20">
        <v>0</v>
      </c>
      <c r="H20" s="20">
        <v>0</v>
      </c>
      <c r="I20" s="20">
        <v>0</v>
      </c>
      <c r="J20" s="20">
        <v>0</v>
      </c>
    </row>
    <row r="21" spans="1:10" s="24" customFormat="1">
      <c r="A21" s="19" t="s">
        <v>57</v>
      </c>
      <c r="B21" s="20">
        <v>0</v>
      </c>
      <c r="C21" s="20">
        <v>0</v>
      </c>
      <c r="D21" s="20">
        <v>0</v>
      </c>
      <c r="E21" s="20">
        <v>0</v>
      </c>
      <c r="F21" s="20">
        <v>0</v>
      </c>
      <c r="G21" s="20">
        <v>0</v>
      </c>
      <c r="H21" s="20">
        <v>0</v>
      </c>
      <c r="I21" s="20">
        <v>0</v>
      </c>
      <c r="J21" s="20">
        <v>0</v>
      </c>
    </row>
    <row r="22" spans="1:10" s="17" customFormat="1">
      <c r="A22" s="17" t="s">
        <v>58</v>
      </c>
      <c r="B22" s="27">
        <f>SUM(B16,B19:B21)</f>
        <v>54.8</v>
      </c>
      <c r="C22" s="27">
        <f>SUM(C16,C19:C21)</f>
        <v>50.9</v>
      </c>
      <c r="D22" s="27">
        <f t="shared" ref="D22:J22" si="1">SUM(D16,D19:D21)</f>
        <v>50.1</v>
      </c>
      <c r="E22" s="27">
        <f t="shared" si="1"/>
        <v>60.1</v>
      </c>
      <c r="F22" s="27">
        <f t="shared" si="1"/>
        <v>56.4</v>
      </c>
      <c r="G22" s="27">
        <f t="shared" si="1"/>
        <v>75.2</v>
      </c>
      <c r="H22" s="27">
        <f t="shared" si="1"/>
        <v>71.2</v>
      </c>
      <c r="I22" s="27">
        <f t="shared" si="1"/>
        <v>79.099999999999994</v>
      </c>
      <c r="J22" s="27">
        <f t="shared" si="1"/>
        <v>69.5</v>
      </c>
    </row>
    <row r="23" spans="1:10" s="17" customFormat="1">
      <c r="B23" s="27"/>
      <c r="C23" s="27"/>
      <c r="D23" s="27"/>
      <c r="E23" s="27"/>
      <c r="F23" s="27"/>
      <c r="G23" s="27"/>
      <c r="H23" s="27"/>
      <c r="I23" s="27"/>
      <c r="J23" s="27"/>
    </row>
    <row r="24" spans="1:10" s="17" customFormat="1">
      <c r="A24" s="17" t="s">
        <v>59</v>
      </c>
      <c r="B24" s="27">
        <f t="shared" ref="B24:G24" si="2">SUM(B22:E22)</f>
        <v>215.89999999999998</v>
      </c>
      <c r="C24" s="27">
        <f t="shared" si="2"/>
        <v>217.5</v>
      </c>
      <c r="D24" s="27">
        <f t="shared" si="2"/>
        <v>241.8</v>
      </c>
      <c r="E24" s="27">
        <f t="shared" si="2"/>
        <v>262.89999999999998</v>
      </c>
      <c r="F24" s="27">
        <f t="shared" si="2"/>
        <v>281.89999999999998</v>
      </c>
      <c r="G24" s="27">
        <f t="shared" si="2"/>
        <v>295</v>
      </c>
      <c r="H24" s="27"/>
      <c r="I24" s="27"/>
      <c r="J24" s="27"/>
    </row>
    <row r="25" spans="1:10" s="24" customFormat="1">
      <c r="A25" s="19" t="s">
        <v>60</v>
      </c>
      <c r="B25" s="28">
        <v>25</v>
      </c>
      <c r="C25" s="28">
        <v>25</v>
      </c>
      <c r="D25" s="28">
        <v>0</v>
      </c>
      <c r="E25" s="28">
        <v>0</v>
      </c>
      <c r="F25" s="28">
        <v>0</v>
      </c>
      <c r="G25" s="28">
        <v>0</v>
      </c>
      <c r="H25" s="28">
        <v>0</v>
      </c>
      <c r="I25" s="28">
        <v>0</v>
      </c>
      <c r="J25" s="28">
        <v>0</v>
      </c>
    </row>
    <row r="26" spans="1:10" s="24" customFormat="1">
      <c r="A26" s="19" t="s">
        <v>61</v>
      </c>
      <c r="B26" s="29">
        <v>0</v>
      </c>
      <c r="C26" s="29">
        <v>0</v>
      </c>
      <c r="D26" s="29">
        <v>0</v>
      </c>
      <c r="E26" s="29">
        <v>0</v>
      </c>
      <c r="F26" s="29">
        <v>0</v>
      </c>
      <c r="G26" s="29">
        <v>0</v>
      </c>
      <c r="H26" s="30"/>
      <c r="I26" s="30"/>
      <c r="J26" s="30"/>
    </row>
    <row r="27" spans="1:10" s="32" customFormat="1">
      <c r="A27" s="17" t="s">
        <v>62</v>
      </c>
      <c r="B27" s="27">
        <f t="shared" ref="B27:G27" si="3">SUM(B24:B26)</f>
        <v>240.89999999999998</v>
      </c>
      <c r="C27" s="27">
        <f t="shared" si="3"/>
        <v>242.5</v>
      </c>
      <c r="D27" s="27">
        <f t="shared" si="3"/>
        <v>241.8</v>
      </c>
      <c r="E27" s="27">
        <f t="shared" si="3"/>
        <v>262.89999999999998</v>
      </c>
      <c r="F27" s="27">
        <f t="shared" si="3"/>
        <v>281.89999999999998</v>
      </c>
      <c r="G27" s="27">
        <f t="shared" si="3"/>
        <v>295</v>
      </c>
      <c r="H27" s="31"/>
      <c r="I27" s="31"/>
      <c r="J27" s="31"/>
    </row>
    <row r="28" spans="1:10" s="24" customFormat="1"/>
    <row r="29" spans="1:10" s="17" customFormat="1">
      <c r="A29" s="17" t="s">
        <v>58</v>
      </c>
      <c r="B29" s="27">
        <f t="shared" ref="B29:J29" si="4">B22</f>
        <v>54.8</v>
      </c>
      <c r="C29" s="27">
        <f t="shared" si="4"/>
        <v>50.9</v>
      </c>
      <c r="D29" s="27">
        <f t="shared" si="4"/>
        <v>50.1</v>
      </c>
      <c r="E29" s="27">
        <f t="shared" si="4"/>
        <v>60.1</v>
      </c>
      <c r="F29" s="27">
        <f t="shared" si="4"/>
        <v>56.4</v>
      </c>
      <c r="G29" s="27">
        <f t="shared" si="4"/>
        <v>75.2</v>
      </c>
      <c r="H29" s="27">
        <f t="shared" si="4"/>
        <v>71.2</v>
      </c>
      <c r="I29" s="27">
        <f t="shared" si="4"/>
        <v>79.099999999999994</v>
      </c>
      <c r="J29" s="27">
        <f t="shared" si="4"/>
        <v>69.5</v>
      </c>
    </row>
    <row r="30" spans="1:10" s="33" customFormat="1">
      <c r="A30" s="20" t="s">
        <v>63</v>
      </c>
      <c r="B30" s="20">
        <v>-14.3</v>
      </c>
      <c r="C30" s="20">
        <v>-43.8</v>
      </c>
      <c r="D30" s="20">
        <v>-14.9</v>
      </c>
      <c r="E30" s="20">
        <v>-45.1</v>
      </c>
      <c r="F30" s="20">
        <v>-13.2</v>
      </c>
      <c r="G30" s="20">
        <v>-39.299999999999997</v>
      </c>
      <c r="H30" s="20">
        <v>-14.4</v>
      </c>
      <c r="I30" s="20">
        <v>-51</v>
      </c>
      <c r="J30" s="20">
        <v>-12.6</v>
      </c>
    </row>
    <row r="31" spans="1:10" s="33" customFormat="1">
      <c r="A31" s="20" t="s">
        <v>64</v>
      </c>
      <c r="B31" s="20">
        <v>-5</v>
      </c>
      <c r="C31" s="20">
        <v>-11.2</v>
      </c>
      <c r="D31" s="20">
        <v>-8.5</v>
      </c>
      <c r="E31" s="20">
        <v>-6.4</v>
      </c>
      <c r="F31" s="20">
        <v>-9.3000000000000007</v>
      </c>
      <c r="G31" s="20">
        <v>-10.6</v>
      </c>
      <c r="H31" s="20">
        <v>-12.3</v>
      </c>
      <c r="I31" s="20">
        <v>-13.7</v>
      </c>
      <c r="J31" s="20">
        <v>-11.4</v>
      </c>
    </row>
    <row r="32" spans="1:10" s="33" customFormat="1">
      <c r="A32" s="20" t="s">
        <v>65</v>
      </c>
      <c r="B32" s="20">
        <f>-0.2-16.8-4.2</f>
        <v>-21.2</v>
      </c>
      <c r="C32" s="20">
        <f>-2.4+8.1-38</f>
        <v>-32.299999999999997</v>
      </c>
      <c r="D32" s="20">
        <v>-33.900000000000006</v>
      </c>
      <c r="E32" s="20">
        <v>48.5</v>
      </c>
      <c r="F32" s="20">
        <v>-0.89999999999999858</v>
      </c>
      <c r="G32" s="20">
        <v>-7.6000000000000014</v>
      </c>
      <c r="H32" s="20">
        <v>20.700000000000003</v>
      </c>
      <c r="I32" s="20">
        <v>10.899999999999999</v>
      </c>
      <c r="J32" s="20">
        <v>-12.099999999999994</v>
      </c>
    </row>
    <row r="33" spans="1:10" s="33" customFormat="1">
      <c r="A33" s="20" t="s">
        <v>66</v>
      </c>
      <c r="B33" s="20">
        <v>0</v>
      </c>
      <c r="C33" s="20">
        <v>0</v>
      </c>
      <c r="D33" s="20">
        <v>0</v>
      </c>
      <c r="E33" s="20">
        <v>0</v>
      </c>
      <c r="F33" s="20">
        <v>0</v>
      </c>
      <c r="G33" s="20">
        <v>0</v>
      </c>
      <c r="H33" s="20">
        <v>0</v>
      </c>
      <c r="I33" s="20">
        <v>0</v>
      </c>
      <c r="J33" s="20">
        <v>0</v>
      </c>
    </row>
    <row r="34" spans="1:10" s="33" customFormat="1">
      <c r="A34" s="20" t="s">
        <v>57</v>
      </c>
      <c r="B34" s="29">
        <v>0</v>
      </c>
      <c r="C34" s="29">
        <v>0</v>
      </c>
      <c r="D34" s="29">
        <v>0</v>
      </c>
      <c r="E34" s="29">
        <v>0</v>
      </c>
      <c r="F34" s="29">
        <v>0</v>
      </c>
      <c r="G34" s="29">
        <v>0</v>
      </c>
      <c r="H34" s="29">
        <v>0</v>
      </c>
      <c r="I34" s="29">
        <v>0</v>
      </c>
      <c r="J34" s="29">
        <v>0</v>
      </c>
    </row>
    <row r="35" spans="1:10" s="27" customFormat="1">
      <c r="A35" s="27" t="s">
        <v>67</v>
      </c>
      <c r="B35" s="27">
        <v>40.4</v>
      </c>
      <c r="C35" s="27">
        <v>16</v>
      </c>
      <c r="D35" s="27">
        <v>12.9</v>
      </c>
      <c r="E35" s="27">
        <v>80.7</v>
      </c>
      <c r="F35" s="27">
        <v>44.7</v>
      </c>
      <c r="G35" s="27">
        <v>57.8</v>
      </c>
      <c r="H35" s="27">
        <v>69.400000000000006</v>
      </c>
      <c r="I35" s="27">
        <v>54.9</v>
      </c>
      <c r="J35" s="27">
        <v>45.7</v>
      </c>
    </row>
    <row r="36" spans="1:10" s="33" customFormat="1">
      <c r="A36" s="20" t="s">
        <v>68</v>
      </c>
      <c r="B36" s="29">
        <v>-9.5</v>
      </c>
      <c r="C36" s="29">
        <v>-35</v>
      </c>
      <c r="D36" s="29">
        <v>-6.4</v>
      </c>
      <c r="E36" s="29">
        <v>-12.9</v>
      </c>
      <c r="F36" s="29">
        <v>-15</v>
      </c>
      <c r="G36" s="29">
        <v>-10.7</v>
      </c>
      <c r="H36" s="29">
        <v>-10.699999999999996</v>
      </c>
      <c r="I36" s="29">
        <v>-22.2</v>
      </c>
      <c r="J36" s="29">
        <v>-21.1</v>
      </c>
    </row>
    <row r="37" spans="1:10" s="27" customFormat="1">
      <c r="A37" s="27" t="s">
        <v>69</v>
      </c>
      <c r="B37" s="27">
        <f>+B35+B36</f>
        <v>30.9</v>
      </c>
      <c r="C37" s="27">
        <f>+C35+C36</f>
        <v>-19</v>
      </c>
      <c r="D37" s="27">
        <f t="shared" ref="D37:J37" si="5">+D35+D36</f>
        <v>6.5</v>
      </c>
      <c r="E37" s="27">
        <f t="shared" si="5"/>
        <v>67.8</v>
      </c>
      <c r="F37" s="27">
        <f t="shared" si="5"/>
        <v>29.700000000000003</v>
      </c>
      <c r="G37" s="27">
        <f t="shared" si="5"/>
        <v>47.099999999999994</v>
      </c>
      <c r="H37" s="27">
        <f t="shared" si="5"/>
        <v>58.70000000000001</v>
      </c>
      <c r="I37" s="27">
        <f t="shared" si="5"/>
        <v>32.700000000000003</v>
      </c>
      <c r="J37" s="27">
        <f t="shared" si="5"/>
        <v>24.6</v>
      </c>
    </row>
    <row r="39" spans="1:10" s="35" customFormat="1">
      <c r="A39" s="34" t="s">
        <v>70</v>
      </c>
      <c r="B39" s="20">
        <v>0</v>
      </c>
      <c r="C39" s="20">
        <v>360.6</v>
      </c>
      <c r="D39" s="20">
        <v>363.3</v>
      </c>
      <c r="E39" s="20">
        <v>362</v>
      </c>
      <c r="F39" s="20">
        <v>366.6</v>
      </c>
      <c r="G39" s="20">
        <v>367.5</v>
      </c>
      <c r="H39" s="20"/>
      <c r="I39" s="20"/>
      <c r="J39" s="20"/>
    </row>
    <row r="40" spans="1:10" s="35" customFormat="1">
      <c r="A40" s="34" t="s">
        <v>71</v>
      </c>
      <c r="B40" s="20">
        <v>1325</v>
      </c>
      <c r="C40" s="20">
        <f>1298-C39</f>
        <v>937.4</v>
      </c>
      <c r="D40" s="20">
        <f>1327.6-D39</f>
        <v>964.3</v>
      </c>
      <c r="E40" s="20">
        <f>1326.3-E39</f>
        <v>964.3</v>
      </c>
      <c r="F40" s="20">
        <f>1323.7-F39</f>
        <v>957.1</v>
      </c>
      <c r="G40" s="20">
        <f>1342-G39</f>
        <v>974.5</v>
      </c>
      <c r="H40" s="20"/>
      <c r="I40" s="20"/>
      <c r="J40" s="20"/>
    </row>
    <row r="41" spans="1:10" s="35" customFormat="1">
      <c r="A41" s="34" t="s">
        <v>72</v>
      </c>
      <c r="B41" s="20">
        <f t="shared" ref="B41:G41" si="6">B39+B40</f>
        <v>1325</v>
      </c>
      <c r="C41" s="20">
        <f t="shared" si="6"/>
        <v>1298</v>
      </c>
      <c r="D41" s="20">
        <f t="shared" si="6"/>
        <v>1327.6</v>
      </c>
      <c r="E41" s="20">
        <f t="shared" si="6"/>
        <v>1326.3</v>
      </c>
      <c r="F41" s="20">
        <f t="shared" si="6"/>
        <v>1323.7</v>
      </c>
      <c r="G41" s="20">
        <f t="shared" si="6"/>
        <v>1342</v>
      </c>
      <c r="H41" s="20"/>
      <c r="I41" s="20"/>
      <c r="J41" s="20"/>
    </row>
    <row r="42" spans="1:10" s="35" customFormat="1">
      <c r="A42" s="34" t="s">
        <v>73</v>
      </c>
      <c r="B42" s="36">
        <v>0</v>
      </c>
      <c r="C42" s="36">
        <v>0</v>
      </c>
      <c r="D42" s="36">
        <v>0</v>
      </c>
      <c r="E42" s="36">
        <v>0</v>
      </c>
      <c r="F42" s="36">
        <v>0</v>
      </c>
      <c r="G42" s="36">
        <v>0</v>
      </c>
      <c r="H42" s="36"/>
      <c r="I42" s="36"/>
      <c r="J42" s="36"/>
    </row>
    <row r="43" spans="1:10">
      <c r="B43" s="35"/>
      <c r="C43" s="35"/>
      <c r="D43" s="35"/>
      <c r="E43" s="35"/>
    </row>
    <row r="44" spans="1:10">
      <c r="A44" s="19" t="s">
        <v>74</v>
      </c>
      <c r="B44" s="28">
        <v>80.599999999999994</v>
      </c>
      <c r="C44" s="28">
        <v>75.5</v>
      </c>
      <c r="D44" s="28">
        <v>149.30000000000001</v>
      </c>
      <c r="E44" s="28">
        <v>163.6</v>
      </c>
      <c r="F44" s="28">
        <v>146.30000000000001</v>
      </c>
      <c r="G44" s="28">
        <v>146.1</v>
      </c>
      <c r="H44" s="28"/>
      <c r="I44" s="28"/>
      <c r="J44" s="28"/>
    </row>
    <row r="46" spans="1:10">
      <c r="A46" s="14" t="s">
        <v>75</v>
      </c>
      <c r="B46" s="33">
        <f t="shared" ref="B46:G46" si="7">SUM(B12:E12)</f>
        <v>1153.5999999999999</v>
      </c>
      <c r="C46" s="33">
        <f t="shared" si="7"/>
        <v>1127.8000000000002</v>
      </c>
      <c r="D46" s="33">
        <f t="shared" si="7"/>
        <v>1164</v>
      </c>
      <c r="E46" s="33">
        <f t="shared" si="7"/>
        <v>1252.2</v>
      </c>
      <c r="F46" s="33">
        <f t="shared" si="7"/>
        <v>1360.6</v>
      </c>
      <c r="G46" s="33">
        <f t="shared" si="7"/>
        <v>1475.5</v>
      </c>
    </row>
    <row r="47" spans="1:10">
      <c r="A47" s="14" t="s">
        <v>76</v>
      </c>
      <c r="B47" s="33">
        <f t="shared" ref="B47:G47" si="8">+B27</f>
        <v>240.89999999999998</v>
      </c>
      <c r="C47" s="33">
        <f t="shared" si="8"/>
        <v>242.5</v>
      </c>
      <c r="D47" s="33">
        <f t="shared" si="8"/>
        <v>241.8</v>
      </c>
      <c r="E47" s="33">
        <f t="shared" si="8"/>
        <v>262.89999999999998</v>
      </c>
      <c r="F47" s="33">
        <f t="shared" si="8"/>
        <v>281.89999999999998</v>
      </c>
      <c r="G47" s="33">
        <f t="shared" si="8"/>
        <v>295</v>
      </c>
    </row>
    <row r="48" spans="1:10">
      <c r="A48" s="14" t="s">
        <v>77</v>
      </c>
      <c r="B48" s="33">
        <f t="shared" ref="B48:G48" si="9">+SUM(B37:E37)</f>
        <v>86.199999999999989</v>
      </c>
      <c r="C48" s="33">
        <f t="shared" si="9"/>
        <v>85</v>
      </c>
      <c r="D48" s="33">
        <f t="shared" si="9"/>
        <v>151.1</v>
      </c>
      <c r="E48" s="33">
        <f t="shared" si="9"/>
        <v>203.3</v>
      </c>
      <c r="F48" s="33">
        <f t="shared" si="9"/>
        <v>168.2</v>
      </c>
      <c r="G48" s="33">
        <f t="shared" si="9"/>
        <v>163.1</v>
      </c>
    </row>
    <row r="50" spans="1:10" s="37" customFormat="1">
      <c r="A50" s="37" t="s">
        <v>78</v>
      </c>
      <c r="B50" s="37">
        <f t="shared" ref="B50:G50" si="10">+SUM(B39:B40)/B47</f>
        <v>5.5002075550020759</v>
      </c>
      <c r="C50" s="37">
        <f t="shared" si="10"/>
        <v>5.3525773195876285</v>
      </c>
      <c r="D50" s="37">
        <f t="shared" si="10"/>
        <v>5.4904880066170385</v>
      </c>
      <c r="E50" s="37">
        <f t="shared" si="10"/>
        <v>5.0448839863065809</v>
      </c>
      <c r="F50" s="37">
        <f t="shared" si="10"/>
        <v>4.6956367506207881</v>
      </c>
      <c r="G50" s="37">
        <f t="shared" si="10"/>
        <v>4.5491525423728811</v>
      </c>
    </row>
    <row r="51" spans="1:10" s="37" customFormat="1">
      <c r="A51" s="37" t="s">
        <v>79</v>
      </c>
      <c r="B51" s="37">
        <f t="shared" ref="B51:G51" si="11">+B41/B47</f>
        <v>5.5002075550020759</v>
      </c>
      <c r="C51" s="37">
        <f t="shared" si="11"/>
        <v>5.3525773195876285</v>
      </c>
      <c r="D51" s="37">
        <f t="shared" si="11"/>
        <v>5.4904880066170385</v>
      </c>
      <c r="E51" s="37">
        <f t="shared" si="11"/>
        <v>5.0448839863065809</v>
      </c>
      <c r="F51" s="37">
        <f t="shared" si="11"/>
        <v>4.6956367506207881</v>
      </c>
      <c r="G51" s="37">
        <f t="shared" si="11"/>
        <v>4.5491525423728811</v>
      </c>
    </row>
    <row r="52" spans="1:10" s="37" customFormat="1">
      <c r="A52" s="37" t="s">
        <v>80</v>
      </c>
      <c r="B52" s="37">
        <f t="shared" ref="B52:G52" si="12">+(B41-B44)/B47</f>
        <v>5.16562889165629</v>
      </c>
      <c r="C52" s="37">
        <f t="shared" si="12"/>
        <v>5.0412371134020617</v>
      </c>
      <c r="D52" s="37">
        <f t="shared" si="12"/>
        <v>4.8730355665839529</v>
      </c>
      <c r="E52" s="37">
        <f t="shared" si="12"/>
        <v>4.4225941422594151</v>
      </c>
      <c r="F52" s="37">
        <f t="shared" si="12"/>
        <v>4.1766583894998233</v>
      </c>
      <c r="G52" s="37">
        <f t="shared" si="12"/>
        <v>4.0538983050847461</v>
      </c>
    </row>
    <row r="53" spans="1:10" s="38" customFormat="1">
      <c r="A53" s="38" t="s">
        <v>81</v>
      </c>
      <c r="B53" s="38">
        <f t="shared" ref="B53:G53" si="13">+B48/B41</f>
        <v>6.5056603773584895E-2</v>
      </c>
      <c r="C53" s="38">
        <f t="shared" si="13"/>
        <v>6.5485362095531588E-2</v>
      </c>
      <c r="D53" s="38">
        <f t="shared" si="13"/>
        <v>0.11381440192829166</v>
      </c>
      <c r="E53" s="38">
        <f t="shared" si="13"/>
        <v>0.15328357083616076</v>
      </c>
      <c r="F53" s="38">
        <f t="shared" si="13"/>
        <v>0.12706806678250357</v>
      </c>
      <c r="G53" s="38">
        <f t="shared" si="13"/>
        <v>0.12153502235469447</v>
      </c>
    </row>
    <row r="54" spans="1:10" s="38" customFormat="1">
      <c r="A54" s="39" t="s">
        <v>82</v>
      </c>
      <c r="B54" s="40">
        <v>7</v>
      </c>
      <c r="C54" s="40">
        <v>7</v>
      </c>
      <c r="D54" s="40">
        <v>7</v>
      </c>
      <c r="E54" s="40">
        <v>7</v>
      </c>
      <c r="F54" s="40">
        <v>7</v>
      </c>
      <c r="G54" s="40">
        <v>7</v>
      </c>
      <c r="H54" s="39"/>
      <c r="I54" s="39"/>
      <c r="J54" s="39"/>
    </row>
    <row r="55" spans="1:10" s="38" customFormat="1">
      <c r="A55" s="38" t="s">
        <v>83</v>
      </c>
      <c r="B55" s="41" t="str">
        <f t="shared" ref="B55:G55" si="14">IF(B42=0,IF(B54="","","*"&amp;TEXT(B54,"0.0x")),(B41+B42-B44)/B47)</f>
        <v>*7.0x</v>
      </c>
      <c r="C55" s="41" t="str">
        <f t="shared" si="14"/>
        <v>*7.0x</v>
      </c>
      <c r="D55" s="41" t="str">
        <f t="shared" si="14"/>
        <v>*7.0x</v>
      </c>
      <c r="E55" s="41" t="str">
        <f t="shared" si="14"/>
        <v>*7.0x</v>
      </c>
      <c r="F55" s="41" t="str">
        <f t="shared" si="14"/>
        <v>*7.0x</v>
      </c>
      <c r="G55" s="41" t="str">
        <f t="shared" si="14"/>
        <v>*7.0x</v>
      </c>
      <c r="H55" s="41" t="str">
        <f>IF(H42=0,IF(H54="","",CONCATENATE("* ",H54,"x")),(H41+H42-H44)/H47)</f>
        <v/>
      </c>
      <c r="I55" s="41" t="str">
        <f>IF(I42=0,IF(I54="","",CONCATENATE("* ",I54,"x")),(I41+I42-I44)/I47)</f>
        <v/>
      </c>
      <c r="J55" s="41" t="str">
        <f>IF(J42=0,IF(J54="","",CONCATENATE("* ",J54,"x")),(J41+J42-J44)/J47)</f>
        <v/>
      </c>
    </row>
    <row r="56" spans="1:10">
      <c r="G56" s="42"/>
    </row>
    <row r="57" spans="1:10" ht="80.25" customHeight="1">
      <c r="A57" s="43" t="s">
        <v>84</v>
      </c>
      <c r="B57" s="44" t="s">
        <v>90</v>
      </c>
      <c r="C57" s="44" t="s">
        <v>90</v>
      </c>
      <c r="D57" s="44"/>
      <c r="E57" s="44"/>
      <c r="F57" s="44"/>
      <c r="G57" s="44"/>
      <c r="H57" s="44"/>
      <c r="I57" s="44"/>
      <c r="J57" s="44"/>
    </row>
    <row r="58" spans="1:10">
      <c r="A58" s="45"/>
      <c r="B58" s="42"/>
      <c r="C58" s="42"/>
    </row>
    <row r="59" spans="1:10">
      <c r="A59" s="45"/>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2:AB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8" width="10.6640625" style="14" customWidth="1"/>
    <col min="19" max="16384" width="9.109375" style="14"/>
  </cols>
  <sheetData>
    <row r="2" spans="1:28">
      <c r="A2" s="13" t="s">
        <v>44</v>
      </c>
      <c r="B2" s="14" t="s">
        <v>29</v>
      </c>
    </row>
    <row r="3" spans="1:28" s="16" customFormat="1">
      <c r="A3" s="15" t="s">
        <v>45</v>
      </c>
      <c r="B3" s="16" t="s">
        <v>102</v>
      </c>
    </row>
    <row r="4" spans="1:28">
      <c r="A4" s="13" t="s">
        <v>2</v>
      </c>
      <c r="B4" s="14" t="s">
        <v>493</v>
      </c>
    </row>
    <row r="5" spans="1:28">
      <c r="A5" s="13" t="s">
        <v>46</v>
      </c>
    </row>
    <row r="6" spans="1:28">
      <c r="A6" s="13" t="s">
        <v>47</v>
      </c>
      <c r="B6" s="14">
        <v>3</v>
      </c>
    </row>
    <row r="7" spans="1:28">
      <c r="A7" s="13" t="s">
        <v>48</v>
      </c>
      <c r="B7" s="14" t="s">
        <v>449</v>
      </c>
    </row>
    <row r="8" spans="1:28">
      <c r="A8" s="13" t="s">
        <v>347</v>
      </c>
      <c r="B8" s="14" t="s">
        <v>383</v>
      </c>
    </row>
    <row r="9" spans="1:28">
      <c r="A9" s="17"/>
    </row>
    <row r="10" spans="1:28">
      <c r="A10" s="17" t="s">
        <v>49</v>
      </c>
      <c r="B10" s="18">
        <v>44286</v>
      </c>
      <c r="C10" s="18">
        <v>44196</v>
      </c>
      <c r="D10" s="18">
        <v>44104</v>
      </c>
      <c r="E10" s="18">
        <v>44012</v>
      </c>
      <c r="F10" s="18">
        <v>43921</v>
      </c>
      <c r="G10" s="18">
        <v>43830</v>
      </c>
      <c r="H10" s="18">
        <v>43738</v>
      </c>
      <c r="I10" s="18">
        <v>43646</v>
      </c>
      <c r="J10" s="18">
        <v>43555</v>
      </c>
      <c r="K10" s="18">
        <v>43465</v>
      </c>
      <c r="L10" s="18">
        <v>43373</v>
      </c>
      <c r="M10" s="18">
        <v>43281</v>
      </c>
      <c r="N10" s="18">
        <v>43190</v>
      </c>
      <c r="O10" s="18">
        <v>43100</v>
      </c>
      <c r="P10" s="18">
        <f>EOMONTH(O10,-3)</f>
        <v>43008</v>
      </c>
      <c r="Q10" s="18">
        <f t="shared" ref="Q10:R10" si="0">EOMONTH(P10,-3)</f>
        <v>42916</v>
      </c>
      <c r="R10" s="18">
        <f t="shared" si="0"/>
        <v>42825</v>
      </c>
    </row>
    <row r="11" spans="1:28">
      <c r="O11" s="33"/>
    </row>
    <row r="12" spans="1:28">
      <c r="A12" s="19" t="s">
        <v>50</v>
      </c>
      <c r="B12" s="20">
        <v>286</v>
      </c>
      <c r="C12" s="20">
        <f>182.7+34+1.3</f>
        <v>218</v>
      </c>
      <c r="D12" s="20">
        <f>176+34.2+3.5</f>
        <v>213.7</v>
      </c>
      <c r="E12" s="20">
        <f>113+41.5+3</f>
        <v>157.5</v>
      </c>
      <c r="F12" s="20">
        <f>149.1+44.9+2.7</f>
        <v>196.7</v>
      </c>
      <c r="G12" s="20">
        <f>169.1+45+2.4</f>
        <v>216.5</v>
      </c>
      <c r="H12" s="20">
        <f>193.5+45+3.4</f>
        <v>241.9</v>
      </c>
      <c r="I12" s="20">
        <f>155.3+63.9+3.3</f>
        <v>222.50000000000003</v>
      </c>
      <c r="J12" s="20">
        <f>232.4+72.6+3.4</f>
        <v>308.39999999999998</v>
      </c>
      <c r="K12" s="20">
        <f>274.2+74.3+0</f>
        <v>348.5</v>
      </c>
      <c r="L12" s="20">
        <v>336.4</v>
      </c>
      <c r="M12" s="20">
        <v>254.542</v>
      </c>
      <c r="N12" s="20">
        <f>282.9+66.1+9.1</f>
        <v>358.1</v>
      </c>
      <c r="O12" s="20">
        <f>203.3+67.5+4.7</f>
        <v>275.5</v>
      </c>
      <c r="P12" s="20">
        <v>274.42399999999998</v>
      </c>
      <c r="Q12" s="20">
        <v>293.149</v>
      </c>
      <c r="R12" s="20">
        <f>500.634-293.149</f>
        <v>207.48500000000001</v>
      </c>
      <c r="U12" s="24"/>
    </row>
    <row r="13" spans="1:28" s="21" customFormat="1">
      <c r="A13" s="21" t="s">
        <v>51</v>
      </c>
      <c r="B13" s="21">
        <f t="shared" ref="B13:N13" si="1">+B12/F12-1</f>
        <v>0.45399084900864262</v>
      </c>
      <c r="C13" s="21">
        <f t="shared" si="1"/>
        <v>6.9284064665127154E-3</v>
      </c>
      <c r="D13" s="21">
        <f t="shared" si="1"/>
        <v>-0.11657709797436966</v>
      </c>
      <c r="E13" s="21">
        <f t="shared" si="1"/>
        <v>-0.2921348314606742</v>
      </c>
      <c r="F13" s="21">
        <f t="shared" si="1"/>
        <v>-0.36219195849546038</v>
      </c>
      <c r="G13" s="21">
        <f t="shared" si="1"/>
        <v>-0.37876614060258251</v>
      </c>
      <c r="H13" s="21">
        <f t="shared" si="1"/>
        <v>-0.28091557669441136</v>
      </c>
      <c r="I13" s="21">
        <f t="shared" si="1"/>
        <v>-0.1258809940992055</v>
      </c>
      <c r="J13" s="21">
        <f t="shared" si="1"/>
        <v>-0.13878804803127631</v>
      </c>
      <c r="K13" s="21">
        <f t="shared" si="1"/>
        <v>0.26497277676951003</v>
      </c>
      <c r="L13" s="21">
        <f t="shared" si="1"/>
        <v>0.22584030551263745</v>
      </c>
      <c r="M13" s="21">
        <f t="shared" si="1"/>
        <v>-0.13169753265404283</v>
      </c>
      <c r="N13" s="21">
        <f t="shared" si="1"/>
        <v>0.72590789695640656</v>
      </c>
    </row>
    <row r="14" spans="1:28"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c r="P14" s="23"/>
      <c r="Q14" s="23"/>
      <c r="R14" s="23"/>
    </row>
    <row r="15" spans="1:28">
      <c r="B15" s="48"/>
      <c r="C15" s="48"/>
      <c r="D15" s="48"/>
      <c r="E15" s="48"/>
      <c r="F15" s="48"/>
      <c r="G15" s="48"/>
      <c r="H15" s="48"/>
      <c r="I15" s="48"/>
      <c r="J15" s="48"/>
      <c r="K15" s="48"/>
      <c r="L15" s="48"/>
      <c r="M15" s="48"/>
    </row>
    <row r="16" spans="1:28" s="17" customFormat="1">
      <c r="A16" s="25" t="s">
        <v>53</v>
      </c>
      <c r="B16" s="26">
        <v>70</v>
      </c>
      <c r="C16" s="26">
        <v>47.999999999999986</v>
      </c>
      <c r="D16" s="26">
        <v>51.900000000000006</v>
      </c>
      <c r="E16" s="26">
        <v>45.9</v>
      </c>
      <c r="F16" s="26">
        <v>68</v>
      </c>
      <c r="G16" s="26">
        <v>91</v>
      </c>
      <c r="H16" s="26">
        <v>90.6</v>
      </c>
      <c r="I16" s="26">
        <v>83.6</v>
      </c>
      <c r="J16" s="26">
        <v>117.7</v>
      </c>
      <c r="K16" s="26">
        <v>115.29999999999998</v>
      </c>
      <c r="L16" s="26">
        <v>135.80000000000001</v>
      </c>
      <c r="M16" s="26">
        <v>79</v>
      </c>
      <c r="N16" s="26">
        <v>138.89999999999998</v>
      </c>
      <c r="O16" s="26">
        <v>82.90000000000002</v>
      </c>
      <c r="P16" s="26">
        <v>97.1</v>
      </c>
      <c r="Q16" s="26">
        <v>80.799999999999969</v>
      </c>
      <c r="R16" s="26">
        <v>64.799999999999983</v>
      </c>
      <c r="AA16" s="14"/>
      <c r="AB16" s="14"/>
    </row>
    <row r="17" spans="1:21" s="21" customFormat="1">
      <c r="A17" s="21" t="s">
        <v>54</v>
      </c>
      <c r="B17" s="21">
        <f t="shared" ref="B17:C17" si="2">B16/B12</f>
        <v>0.24475524475524477</v>
      </c>
      <c r="C17" s="21">
        <f t="shared" si="2"/>
        <v>0.22018348623853204</v>
      </c>
      <c r="D17" s="21">
        <f t="shared" ref="D17:E17" si="3">D16/D12</f>
        <v>0.24286382779597571</v>
      </c>
      <c r="E17" s="21">
        <f t="shared" si="3"/>
        <v>0.29142857142857143</v>
      </c>
      <c r="F17" s="21">
        <f t="shared" ref="F17:G17" si="4">F16/F12</f>
        <v>0.34570411794611083</v>
      </c>
      <c r="G17" s="21">
        <f t="shared" si="4"/>
        <v>0.42032332563510394</v>
      </c>
      <c r="H17" s="21">
        <f t="shared" ref="H17:I17" si="5">H16/H12</f>
        <v>0.37453493178999581</v>
      </c>
      <c r="I17" s="21">
        <f t="shared" si="5"/>
        <v>0.37573033707865161</v>
      </c>
      <c r="J17" s="21">
        <f t="shared" ref="J17:K17" si="6">J16/J12</f>
        <v>0.38164721141374841</v>
      </c>
      <c r="K17" s="21">
        <f t="shared" si="6"/>
        <v>0.33084648493543756</v>
      </c>
      <c r="L17" s="21">
        <f t="shared" ref="L17:Q17" si="7">L16/L12</f>
        <v>0.40368608799048755</v>
      </c>
      <c r="M17" s="21">
        <f t="shared" si="7"/>
        <v>0.31036135490410227</v>
      </c>
      <c r="N17" s="21">
        <f t="shared" si="7"/>
        <v>0.38788048031276173</v>
      </c>
      <c r="O17" s="21">
        <f t="shared" si="7"/>
        <v>0.30090744101633399</v>
      </c>
      <c r="P17" s="21">
        <f t="shared" si="7"/>
        <v>0.35383202635338018</v>
      </c>
      <c r="Q17" s="21">
        <f t="shared" si="7"/>
        <v>0.27562775243988541</v>
      </c>
      <c r="R17" s="21">
        <f t="shared" ref="R17" si="8">R16/R12</f>
        <v>0.31231173337831641</v>
      </c>
    </row>
    <row r="18" spans="1:21" s="24" customFormat="1"/>
    <row r="19" spans="1:21"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row>
    <row r="20" spans="1:21"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row>
    <row r="21" spans="1:21"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row>
    <row r="22" spans="1:21" s="17" customFormat="1">
      <c r="A22" s="17" t="s">
        <v>58</v>
      </c>
      <c r="B22" s="65">
        <f t="shared" ref="B22" si="9">B16+B19+B20+B21</f>
        <v>70</v>
      </c>
      <c r="C22" s="65">
        <f t="shared" ref="C22:D22" si="10">C16+C19+C20+C21</f>
        <v>47.999999999999986</v>
      </c>
      <c r="D22" s="65">
        <f t="shared" si="10"/>
        <v>51.900000000000006</v>
      </c>
      <c r="E22" s="65">
        <f t="shared" ref="E22:F22" si="11">E16+E19+E20+E21</f>
        <v>45.9</v>
      </c>
      <c r="F22" s="65">
        <f t="shared" si="11"/>
        <v>68</v>
      </c>
      <c r="G22" s="65">
        <f t="shared" ref="G22:L22" si="12">G16+G19+G20+G21</f>
        <v>91</v>
      </c>
      <c r="H22" s="65">
        <f t="shared" si="12"/>
        <v>90.6</v>
      </c>
      <c r="I22" s="65">
        <f t="shared" si="12"/>
        <v>83.6</v>
      </c>
      <c r="J22" s="65">
        <f t="shared" si="12"/>
        <v>117.7</v>
      </c>
      <c r="K22" s="65">
        <f t="shared" si="12"/>
        <v>115.29999999999998</v>
      </c>
      <c r="L22" s="65">
        <f t="shared" si="12"/>
        <v>135.80000000000001</v>
      </c>
      <c r="M22" s="65">
        <f t="shared" ref="M22:Q22" si="13">M16+M19+M20+M21</f>
        <v>79</v>
      </c>
      <c r="N22" s="65">
        <f t="shared" si="13"/>
        <v>138.89999999999998</v>
      </c>
      <c r="O22" s="65">
        <f t="shared" si="13"/>
        <v>82.90000000000002</v>
      </c>
      <c r="P22" s="65">
        <f t="shared" si="13"/>
        <v>97.1</v>
      </c>
      <c r="Q22" s="65">
        <f t="shared" si="13"/>
        <v>80.799999999999969</v>
      </c>
      <c r="R22" s="65">
        <f t="shared" ref="R22" si="14">R16+R19+R20+R21</f>
        <v>64.799999999999983</v>
      </c>
      <c r="T22" s="14"/>
      <c r="U22" s="14"/>
    </row>
    <row r="23" spans="1:21" s="17" customFormat="1">
      <c r="B23" s="21"/>
      <c r="C23" s="21"/>
      <c r="D23" s="21"/>
      <c r="E23" s="21"/>
      <c r="F23" s="21"/>
      <c r="G23" s="21"/>
      <c r="H23" s="21"/>
      <c r="I23" s="21"/>
      <c r="J23" s="21"/>
      <c r="K23" s="21"/>
      <c r="L23" s="21"/>
      <c r="M23" s="27"/>
      <c r="N23" s="27"/>
      <c r="O23" s="27"/>
      <c r="P23" s="27"/>
      <c r="Q23" s="27"/>
      <c r="R23" s="27"/>
      <c r="T23" s="130"/>
    </row>
    <row r="24" spans="1:21" s="17" customFormat="1">
      <c r="A24" s="17" t="s">
        <v>59</v>
      </c>
      <c r="B24" s="27">
        <f t="shared" ref="B24:O24" si="15">SUM(B22:E22)</f>
        <v>215.79999999999998</v>
      </c>
      <c r="C24" s="27">
        <f t="shared" si="15"/>
        <v>213.79999999999998</v>
      </c>
      <c r="D24" s="27">
        <f t="shared" si="15"/>
        <v>256.8</v>
      </c>
      <c r="E24" s="27">
        <f t="shared" si="15"/>
        <v>295.5</v>
      </c>
      <c r="F24" s="27">
        <f t="shared" si="15"/>
        <v>333.2</v>
      </c>
      <c r="G24" s="27">
        <f t="shared" si="15"/>
        <v>382.9</v>
      </c>
      <c r="H24" s="27">
        <f t="shared" si="15"/>
        <v>407.19999999999993</v>
      </c>
      <c r="I24" s="27">
        <f t="shared" si="15"/>
        <v>452.40000000000003</v>
      </c>
      <c r="J24" s="27">
        <f t="shared" si="15"/>
        <v>447.8</v>
      </c>
      <c r="K24" s="27">
        <f t="shared" si="15"/>
        <v>469</v>
      </c>
      <c r="L24" s="27">
        <f t="shared" si="15"/>
        <v>436.6</v>
      </c>
      <c r="M24" s="27">
        <f t="shared" si="15"/>
        <v>397.9</v>
      </c>
      <c r="N24" s="27">
        <f t="shared" si="15"/>
        <v>399.69999999999993</v>
      </c>
      <c r="O24" s="27">
        <f t="shared" si="15"/>
        <v>325.59999999999991</v>
      </c>
      <c r="P24" s="27"/>
      <c r="Q24" s="27"/>
      <c r="R24" s="27"/>
    </row>
    <row r="25" spans="1:21" s="24" customFormat="1">
      <c r="A25" s="19" t="s">
        <v>60</v>
      </c>
      <c r="B25" s="28">
        <f>229.951454-B24</f>
        <v>14.15145400000003</v>
      </c>
      <c r="C25" s="28">
        <f>226.8-C24</f>
        <v>13.000000000000028</v>
      </c>
      <c r="D25" s="28">
        <f>260.7-D24</f>
        <v>3.8999999999999773</v>
      </c>
      <c r="E25" s="28">
        <f>297.6-E24</f>
        <v>2.1000000000000227</v>
      </c>
      <c r="F25" s="28">
        <f>331.4-F24</f>
        <v>-1.8000000000000114</v>
      </c>
      <c r="G25" s="28">
        <f>379.156318-G24</f>
        <v>-3.7436819999999784</v>
      </c>
      <c r="H25" s="28">
        <f>407.646255-H24</f>
        <v>0.44625500000006468</v>
      </c>
      <c r="I25" s="28">
        <f>453.18994-I24</f>
        <v>0.78993999999994458</v>
      </c>
      <c r="J25" s="28">
        <f>462.317738-J24</f>
        <v>14.517738000000008</v>
      </c>
      <c r="K25" s="28">
        <f>485.437-K24</f>
        <v>16.437000000000012</v>
      </c>
      <c r="L25" s="28">
        <v>0</v>
      </c>
      <c r="M25" s="28">
        <v>0</v>
      </c>
      <c r="N25" s="28">
        <v>0</v>
      </c>
      <c r="O25" s="28">
        <v>0</v>
      </c>
      <c r="P25" s="28"/>
      <c r="Q25" s="28"/>
      <c r="R25" s="28"/>
    </row>
    <row r="26" spans="1:21" s="24" customFormat="1">
      <c r="A26" s="19" t="s">
        <v>61</v>
      </c>
      <c r="B26" s="29">
        <v>0</v>
      </c>
      <c r="C26" s="29">
        <v>0</v>
      </c>
      <c r="D26" s="29">
        <v>0</v>
      </c>
      <c r="E26" s="29">
        <v>0</v>
      </c>
      <c r="F26" s="29">
        <v>0</v>
      </c>
      <c r="G26" s="29">
        <v>0</v>
      </c>
      <c r="H26" s="29">
        <v>0</v>
      </c>
      <c r="I26" s="29">
        <v>0</v>
      </c>
      <c r="J26" s="29">
        <v>0</v>
      </c>
      <c r="K26" s="29">
        <v>0</v>
      </c>
      <c r="L26" s="29">
        <v>0</v>
      </c>
      <c r="M26" s="29">
        <v>0</v>
      </c>
      <c r="N26" s="29">
        <v>0</v>
      </c>
      <c r="O26" s="29">
        <v>0</v>
      </c>
      <c r="P26" s="29"/>
      <c r="Q26" s="29"/>
      <c r="R26" s="29"/>
      <c r="S26" s="98"/>
    </row>
    <row r="27" spans="1:21" s="32" customFormat="1">
      <c r="A27" s="17" t="s">
        <v>62</v>
      </c>
      <c r="B27" s="27">
        <f t="shared" ref="B27" si="16">B24+B25+B26</f>
        <v>229.95145400000001</v>
      </c>
      <c r="C27" s="27">
        <f t="shared" ref="C27:D27" si="17">C24+C25+C26</f>
        <v>226.8</v>
      </c>
      <c r="D27" s="27">
        <f t="shared" si="17"/>
        <v>260.7</v>
      </c>
      <c r="E27" s="27">
        <f t="shared" ref="E27:F27" si="18">E24+E25+E26</f>
        <v>297.60000000000002</v>
      </c>
      <c r="F27" s="27">
        <f t="shared" si="18"/>
        <v>331.4</v>
      </c>
      <c r="G27" s="27">
        <f t="shared" ref="G27:H27" si="19">G24+G25+G26</f>
        <v>379.156318</v>
      </c>
      <c r="H27" s="27">
        <f t="shared" si="19"/>
        <v>407.646255</v>
      </c>
      <c r="I27" s="27">
        <f t="shared" ref="I27" si="20">I24+I25+I26</f>
        <v>453.18993999999998</v>
      </c>
      <c r="J27" s="27">
        <f t="shared" ref="J27:M27" si="21">J24+J25+J26</f>
        <v>462.31773800000002</v>
      </c>
      <c r="K27" s="27">
        <f t="shared" si="21"/>
        <v>485.43700000000001</v>
      </c>
      <c r="L27" s="27">
        <f t="shared" si="21"/>
        <v>436.6</v>
      </c>
      <c r="M27" s="27">
        <f t="shared" si="21"/>
        <v>397.9</v>
      </c>
      <c r="N27" s="27">
        <f t="shared" ref="N27:O27" si="22">N24+N25+N26</f>
        <v>399.69999999999993</v>
      </c>
      <c r="O27" s="27">
        <f t="shared" si="22"/>
        <v>325.59999999999991</v>
      </c>
      <c r="P27" s="27"/>
      <c r="Q27" s="27"/>
      <c r="R27" s="27"/>
    </row>
    <row r="28" spans="1:21" s="24" customFormat="1"/>
    <row r="29" spans="1:21" s="17" customFormat="1">
      <c r="A29" s="17" t="s">
        <v>58</v>
      </c>
      <c r="B29" s="27">
        <f t="shared" ref="B29" si="23">B22</f>
        <v>70</v>
      </c>
      <c r="C29" s="27">
        <f t="shared" ref="C29:D29" si="24">C22</f>
        <v>47.999999999999986</v>
      </c>
      <c r="D29" s="27">
        <f t="shared" si="24"/>
        <v>51.900000000000006</v>
      </c>
      <c r="E29" s="27">
        <f t="shared" ref="E29:J29" si="25">E22</f>
        <v>45.9</v>
      </c>
      <c r="F29" s="27">
        <f t="shared" si="25"/>
        <v>68</v>
      </c>
      <c r="G29" s="27">
        <f t="shared" si="25"/>
        <v>91</v>
      </c>
      <c r="H29" s="27">
        <f t="shared" si="25"/>
        <v>90.6</v>
      </c>
      <c r="I29" s="27">
        <f t="shared" si="25"/>
        <v>83.6</v>
      </c>
      <c r="J29" s="27">
        <f t="shared" si="25"/>
        <v>117.7</v>
      </c>
      <c r="K29" s="27"/>
      <c r="L29" s="27">
        <f>L22</f>
        <v>135.80000000000001</v>
      </c>
      <c r="M29" s="27">
        <f>M22</f>
        <v>79</v>
      </c>
      <c r="N29" s="27">
        <f>N22</f>
        <v>138.89999999999998</v>
      </c>
      <c r="O29" s="27"/>
      <c r="P29" s="27"/>
      <c r="Q29" s="27"/>
      <c r="R29" s="27"/>
    </row>
    <row r="30" spans="1:21" s="33" customFormat="1">
      <c r="A30" s="20" t="s">
        <v>63</v>
      </c>
      <c r="B30" s="20"/>
      <c r="C30" s="20"/>
      <c r="D30" s="20"/>
      <c r="E30" s="20"/>
      <c r="F30" s="20"/>
      <c r="G30" s="20"/>
      <c r="H30" s="20"/>
      <c r="I30" s="20"/>
      <c r="J30" s="20"/>
      <c r="K30" s="20"/>
      <c r="L30" s="20"/>
      <c r="M30" s="20"/>
      <c r="N30" s="20"/>
      <c r="O30" s="20"/>
      <c r="P30" s="20"/>
      <c r="Q30" s="20"/>
      <c r="R30" s="20"/>
    </row>
    <row r="31" spans="1:21" s="33" customFormat="1">
      <c r="A31" s="20" t="s">
        <v>64</v>
      </c>
      <c r="B31" s="20"/>
      <c r="C31" s="20"/>
      <c r="D31" s="20"/>
      <c r="E31" s="20"/>
      <c r="F31" s="20"/>
      <c r="G31" s="20"/>
      <c r="H31" s="20"/>
      <c r="I31" s="20"/>
      <c r="J31" s="20"/>
      <c r="K31" s="20"/>
      <c r="L31" s="20"/>
      <c r="M31" s="20"/>
      <c r="N31" s="20"/>
      <c r="O31" s="20"/>
      <c r="P31" s="20"/>
      <c r="Q31" s="20"/>
      <c r="R31" s="20"/>
    </row>
    <row r="32" spans="1:21" s="33" customFormat="1">
      <c r="A32" s="20" t="s">
        <v>65</v>
      </c>
      <c r="B32" s="20"/>
      <c r="C32" s="20"/>
      <c r="D32" s="20"/>
      <c r="E32" s="20"/>
      <c r="F32" s="20"/>
      <c r="G32" s="20"/>
      <c r="H32" s="20"/>
      <c r="I32" s="20"/>
      <c r="J32" s="20"/>
      <c r="K32" s="20"/>
      <c r="L32" s="20"/>
      <c r="M32" s="20"/>
      <c r="N32" s="20"/>
      <c r="O32" s="20"/>
      <c r="P32" s="20"/>
      <c r="Q32" s="20"/>
      <c r="R32" s="20"/>
    </row>
    <row r="33" spans="1:21" s="33" customFormat="1">
      <c r="A33" s="20" t="s">
        <v>66</v>
      </c>
      <c r="B33" s="20"/>
      <c r="C33" s="20"/>
      <c r="D33" s="20"/>
      <c r="E33" s="20"/>
      <c r="F33" s="20"/>
      <c r="G33" s="20"/>
      <c r="H33" s="20"/>
      <c r="I33" s="20"/>
      <c r="J33" s="20"/>
      <c r="K33" s="20"/>
      <c r="L33" s="20"/>
      <c r="M33" s="20"/>
      <c r="N33" s="20"/>
      <c r="O33" s="20"/>
      <c r="P33" s="20"/>
      <c r="Q33" s="20"/>
      <c r="R33" s="20"/>
    </row>
    <row r="34" spans="1:21" s="33" customFormat="1">
      <c r="A34" s="20" t="s">
        <v>57</v>
      </c>
      <c r="B34" s="29"/>
      <c r="C34" s="29"/>
      <c r="D34" s="29"/>
      <c r="E34" s="29"/>
      <c r="F34" s="29"/>
      <c r="G34" s="29"/>
      <c r="H34" s="29"/>
      <c r="I34" s="29"/>
      <c r="J34" s="29"/>
      <c r="K34" s="29"/>
      <c r="L34" s="29"/>
      <c r="M34" s="29"/>
      <c r="N34" s="29"/>
      <c r="O34" s="29"/>
      <c r="P34" s="29"/>
      <c r="Q34" s="29"/>
      <c r="R34" s="29"/>
    </row>
    <row r="35" spans="1:21" s="27" customFormat="1">
      <c r="A35" s="27" t="s">
        <v>67</v>
      </c>
      <c r="B35" s="27">
        <v>57.564999999999998</v>
      </c>
      <c r="C35" s="27">
        <f>110.833-D35-E35-F35</f>
        <v>45.569999999999993</v>
      </c>
      <c r="D35" s="27">
        <f>65.263-E35-F35</f>
        <v>57.046000000000006</v>
      </c>
      <c r="E35" s="27">
        <f>8.217-F35</f>
        <v>1.6180000000000003</v>
      </c>
      <c r="F35" s="27">
        <v>6.5990000000000002</v>
      </c>
      <c r="G35" s="27">
        <f>171.909-H35-I35-J35</f>
        <v>16.467999999999989</v>
      </c>
      <c r="H35" s="27">
        <f>155.441-I35-J35</f>
        <v>48.162999999999997</v>
      </c>
      <c r="I35" s="27">
        <f>107.278-J35</f>
        <v>19.663000000000011</v>
      </c>
      <c r="J35" s="27">
        <f>87.615</f>
        <v>87.614999999999995</v>
      </c>
      <c r="K35" s="27">
        <f>393.372-L35-M35-N35</f>
        <v>119.66700000000006</v>
      </c>
      <c r="L35" s="27">
        <f>273.705-M35-N35</f>
        <v>84.339999999999975</v>
      </c>
      <c r="M35" s="27">
        <f>189.365-N35</f>
        <v>24.356999999999999</v>
      </c>
      <c r="N35" s="27">
        <v>165.00800000000001</v>
      </c>
    </row>
    <row r="36" spans="1:21" s="33" customFormat="1">
      <c r="A36" s="20" t="s">
        <v>68</v>
      </c>
      <c r="B36" s="29">
        <v>-5.3680000000000003</v>
      </c>
      <c r="C36" s="29">
        <f>-36.164-D36-E36-F36</f>
        <v>-14.272000000000004</v>
      </c>
      <c r="D36" s="29">
        <f>-21.892-E36-F36</f>
        <v>-8.9859999999999989</v>
      </c>
      <c r="E36" s="29">
        <f>-12.906-F36</f>
        <v>-9.0010000000000012</v>
      </c>
      <c r="F36" s="29">
        <v>-3.9049999999999998</v>
      </c>
      <c r="G36" s="29">
        <f>-91.85-H36-I36-J36</f>
        <v>-27.036999999999995</v>
      </c>
      <c r="H36" s="29">
        <f>-64.813-I36-J36</f>
        <v>-11.634000000000004</v>
      </c>
      <c r="I36" s="29">
        <f>-53.179-J36</f>
        <v>-23.919</v>
      </c>
      <c r="J36" s="29">
        <v>-29.26</v>
      </c>
      <c r="K36" s="29">
        <f>-99.487-L36-M36-N36</f>
        <v>-27.567999999999998</v>
      </c>
      <c r="L36" s="29">
        <f>-71.919-M36-N36</f>
        <v>-16.950999999999993</v>
      </c>
      <c r="M36" s="29">
        <f>-54.968-N36</f>
        <v>-39.709000000000003</v>
      </c>
      <c r="N36" s="29">
        <v>-15.259</v>
      </c>
      <c r="O36" s="29"/>
      <c r="P36" s="29"/>
      <c r="Q36" s="29"/>
      <c r="R36" s="29"/>
    </row>
    <row r="37" spans="1:21" s="27" customFormat="1">
      <c r="A37" s="27" t="s">
        <v>69</v>
      </c>
      <c r="B37" s="27">
        <f t="shared" ref="B37:N37" si="26">B35+B36</f>
        <v>52.196999999999996</v>
      </c>
      <c r="C37" s="27">
        <f t="shared" si="26"/>
        <v>31.297999999999988</v>
      </c>
      <c r="D37" s="27">
        <f t="shared" si="26"/>
        <v>48.060000000000009</v>
      </c>
      <c r="E37" s="27">
        <f t="shared" si="26"/>
        <v>-7.3830000000000009</v>
      </c>
      <c r="F37" s="27">
        <f t="shared" si="26"/>
        <v>2.6940000000000004</v>
      </c>
      <c r="G37" s="27">
        <f t="shared" si="26"/>
        <v>-10.569000000000006</v>
      </c>
      <c r="H37" s="27">
        <f t="shared" si="26"/>
        <v>36.528999999999996</v>
      </c>
      <c r="I37" s="27">
        <f t="shared" si="26"/>
        <v>-4.2559999999999896</v>
      </c>
      <c r="J37" s="27">
        <f t="shared" si="26"/>
        <v>58.35499999999999</v>
      </c>
      <c r="K37" s="27">
        <f t="shared" si="26"/>
        <v>92.099000000000061</v>
      </c>
      <c r="L37" s="27">
        <f t="shared" si="26"/>
        <v>67.388999999999982</v>
      </c>
      <c r="M37" s="27">
        <f t="shared" si="26"/>
        <v>-15.352000000000004</v>
      </c>
      <c r="N37" s="27">
        <f t="shared" si="26"/>
        <v>149.74900000000002</v>
      </c>
    </row>
    <row r="38" spans="1:21">
      <c r="J38" s="48"/>
      <c r="K38" s="33"/>
      <c r="M38" s="33"/>
      <c r="U38" s="90"/>
    </row>
    <row r="39" spans="1:21" s="35" customFormat="1">
      <c r="A39" s="34" t="s">
        <v>70</v>
      </c>
      <c r="B39" s="20">
        <v>0</v>
      </c>
      <c r="C39" s="20">
        <v>0</v>
      </c>
      <c r="D39" s="20">
        <v>20</v>
      </c>
      <c r="E39" s="20">
        <v>25</v>
      </c>
      <c r="F39" s="20">
        <v>10</v>
      </c>
      <c r="G39" s="20">
        <v>15</v>
      </c>
      <c r="H39" s="20">
        <v>0</v>
      </c>
      <c r="I39" s="20">
        <v>0</v>
      </c>
      <c r="J39" s="20">
        <v>0</v>
      </c>
      <c r="K39" s="20">
        <v>0</v>
      </c>
      <c r="L39" s="20">
        <f>M39</f>
        <v>0</v>
      </c>
      <c r="M39" s="20">
        <v>0</v>
      </c>
      <c r="N39" s="20">
        <v>0</v>
      </c>
      <c r="O39" s="20">
        <v>0</v>
      </c>
      <c r="P39" s="20"/>
      <c r="Q39" s="20"/>
      <c r="R39" s="20"/>
      <c r="S39" s="89"/>
      <c r="U39" s="90"/>
    </row>
    <row r="40" spans="1:21" s="35" customFormat="1">
      <c r="A40" s="34" t="s">
        <v>71</v>
      </c>
      <c r="B40" s="20">
        <v>1740.6559999999999</v>
      </c>
      <c r="C40" s="20">
        <v>1773</v>
      </c>
      <c r="D40" s="20">
        <v>1773</v>
      </c>
      <c r="E40" s="20">
        <v>1773</v>
      </c>
      <c r="F40" s="20">
        <v>1773</v>
      </c>
      <c r="G40" s="20">
        <f>1773+100-100</f>
        <v>1773</v>
      </c>
      <c r="H40" s="20">
        <f>1773+100-100</f>
        <v>1773</v>
      </c>
      <c r="I40" s="20">
        <f>1773+100-100</f>
        <v>1773</v>
      </c>
      <c r="J40" s="20">
        <f>1773+100-100</f>
        <v>1773</v>
      </c>
      <c r="K40" s="20">
        <f>1813.875+100-100</f>
        <v>1813.875</v>
      </c>
      <c r="L40" s="20">
        <f>1862+100-100</f>
        <v>1862</v>
      </c>
      <c r="M40" s="20">
        <f>1862+100-100</f>
        <v>1862</v>
      </c>
      <c r="N40" s="20">
        <f>1862+100</f>
        <v>1962</v>
      </c>
      <c r="O40" s="20">
        <f>1675</f>
        <v>1675</v>
      </c>
      <c r="P40" s="20"/>
      <c r="Q40" s="20"/>
      <c r="R40" s="20"/>
      <c r="U40" s="90"/>
    </row>
    <row r="41" spans="1:21" s="35" customFormat="1">
      <c r="A41" s="34" t="s">
        <v>72</v>
      </c>
      <c r="B41" s="20">
        <f t="shared" ref="B41:O41" si="27">B39+B40</f>
        <v>1740.6559999999999</v>
      </c>
      <c r="C41" s="20">
        <f t="shared" si="27"/>
        <v>1773</v>
      </c>
      <c r="D41" s="20">
        <f t="shared" si="27"/>
        <v>1793</v>
      </c>
      <c r="E41" s="20">
        <f t="shared" si="27"/>
        <v>1798</v>
      </c>
      <c r="F41" s="20">
        <f t="shared" si="27"/>
        <v>1783</v>
      </c>
      <c r="G41" s="20">
        <f t="shared" si="27"/>
        <v>1788</v>
      </c>
      <c r="H41" s="20">
        <f t="shared" si="27"/>
        <v>1773</v>
      </c>
      <c r="I41" s="20">
        <f t="shared" si="27"/>
        <v>1773</v>
      </c>
      <c r="J41" s="20">
        <f t="shared" si="27"/>
        <v>1773</v>
      </c>
      <c r="K41" s="20">
        <f t="shared" si="27"/>
        <v>1813.875</v>
      </c>
      <c r="L41" s="20">
        <f t="shared" si="27"/>
        <v>1862</v>
      </c>
      <c r="M41" s="20">
        <f t="shared" si="27"/>
        <v>1862</v>
      </c>
      <c r="N41" s="20">
        <f t="shared" si="27"/>
        <v>1962</v>
      </c>
      <c r="O41" s="20">
        <f t="shared" si="27"/>
        <v>1675</v>
      </c>
      <c r="P41" s="20"/>
      <c r="Q41" s="20"/>
      <c r="R41" s="20"/>
    </row>
    <row r="42" spans="1:21" s="35" customFormat="1">
      <c r="A42" s="34" t="s">
        <v>73</v>
      </c>
      <c r="B42" s="36"/>
      <c r="C42" s="36"/>
      <c r="D42" s="36"/>
      <c r="E42" s="36"/>
      <c r="F42" s="36"/>
      <c r="G42" s="36"/>
      <c r="H42" s="36"/>
      <c r="I42" s="36"/>
      <c r="J42" s="36"/>
      <c r="K42" s="36"/>
      <c r="L42" s="36"/>
      <c r="M42" s="36"/>
      <c r="N42" s="36"/>
      <c r="O42" s="36"/>
      <c r="P42" s="36"/>
      <c r="Q42" s="36"/>
      <c r="R42" s="36"/>
    </row>
    <row r="43" spans="1:21">
      <c r="B43" s="35"/>
      <c r="C43" s="35"/>
      <c r="D43" s="35"/>
      <c r="E43" s="35"/>
      <c r="F43" s="35"/>
      <c r="G43" s="35"/>
      <c r="H43" s="35"/>
      <c r="I43" s="35"/>
      <c r="J43" s="35"/>
      <c r="K43" s="35"/>
      <c r="L43" s="35"/>
      <c r="M43" s="35"/>
      <c r="N43" s="35"/>
      <c r="O43" s="35"/>
      <c r="P43" s="35"/>
      <c r="Q43" s="35"/>
    </row>
    <row r="44" spans="1:21">
      <c r="A44" s="19" t="s">
        <v>74</v>
      </c>
      <c r="B44" s="28">
        <v>38.381999999999998</v>
      </c>
      <c r="C44" s="28">
        <v>34.274999999999999</v>
      </c>
      <c r="D44" s="28">
        <v>27.440999999999999</v>
      </c>
      <c r="E44" s="28">
        <v>17.946000000000002</v>
      </c>
      <c r="F44" s="28">
        <v>7.7370000000000001</v>
      </c>
      <c r="G44" s="28">
        <v>5.149</v>
      </c>
      <c r="H44" s="28">
        <v>9.5492910000000002</v>
      </c>
      <c r="I44" s="28">
        <v>6.8859300000000001</v>
      </c>
      <c r="J44" s="28">
        <v>11.324335</v>
      </c>
      <c r="K44" s="28">
        <v>16.021000000000001</v>
      </c>
      <c r="L44" s="28">
        <v>16.97</v>
      </c>
      <c r="M44" s="28">
        <v>18</v>
      </c>
      <c r="N44" s="28">
        <v>18</v>
      </c>
      <c r="O44" s="28">
        <v>9</v>
      </c>
      <c r="P44" s="28"/>
      <c r="Q44" s="28"/>
      <c r="R44" s="28"/>
    </row>
    <row r="45" spans="1:21">
      <c r="L45" s="33"/>
    </row>
    <row r="46" spans="1:21">
      <c r="A46" s="14" t="s">
        <v>75</v>
      </c>
      <c r="B46" s="58">
        <f t="shared" ref="B46:J46" si="28">C46+B12-F12</f>
        <v>897.65800000000058</v>
      </c>
      <c r="C46" s="58">
        <f t="shared" si="28"/>
        <v>808.35800000000063</v>
      </c>
      <c r="D46" s="58">
        <f t="shared" si="28"/>
        <v>806.85800000000052</v>
      </c>
      <c r="E46" s="58">
        <f t="shared" si="28"/>
        <v>835.05800000000045</v>
      </c>
      <c r="F46" s="58">
        <f t="shared" si="28"/>
        <v>900.05800000000033</v>
      </c>
      <c r="G46" s="58">
        <f t="shared" si="28"/>
        <v>1011.7580000000003</v>
      </c>
      <c r="H46" s="58">
        <f t="shared" si="28"/>
        <v>1143.7580000000003</v>
      </c>
      <c r="I46" s="58">
        <f t="shared" si="28"/>
        <v>1238.2580000000003</v>
      </c>
      <c r="J46" s="58">
        <f t="shared" si="28"/>
        <v>1270.3000000000002</v>
      </c>
      <c r="K46" s="51">
        <f>1017.9+283.6+18.5</f>
        <v>1320</v>
      </c>
      <c r="L46" s="33">
        <f>M46</f>
        <v>1162.566</v>
      </c>
      <c r="M46" s="33">
        <f>SUM(M12:P12)</f>
        <v>1162.566</v>
      </c>
      <c r="N46" s="33">
        <f>SUM(N12:Q12)</f>
        <v>1201.173</v>
      </c>
      <c r="O46" s="33">
        <f>SUM(O12:R12)</f>
        <v>1050.558</v>
      </c>
      <c r="P46" s="33"/>
      <c r="Q46" s="33"/>
      <c r="R46" s="33"/>
      <c r="S46" s="98"/>
    </row>
    <row r="47" spans="1:21">
      <c r="A47" s="14" t="s">
        <v>76</v>
      </c>
      <c r="B47" s="58">
        <f t="shared" ref="B47:C47" si="29">B27</f>
        <v>229.95145400000001</v>
      </c>
      <c r="C47" s="58">
        <f t="shared" si="29"/>
        <v>226.8</v>
      </c>
      <c r="D47" s="58">
        <f t="shared" ref="D47:E47" si="30">D27</f>
        <v>260.7</v>
      </c>
      <c r="E47" s="58">
        <f t="shared" si="30"/>
        <v>297.60000000000002</v>
      </c>
      <c r="F47" s="58">
        <f t="shared" ref="F47:K47" si="31">F27</f>
        <v>331.4</v>
      </c>
      <c r="G47" s="58">
        <f t="shared" si="31"/>
        <v>379.156318</v>
      </c>
      <c r="H47" s="58">
        <f t="shared" si="31"/>
        <v>407.646255</v>
      </c>
      <c r="I47" s="58">
        <f t="shared" si="31"/>
        <v>453.18993999999998</v>
      </c>
      <c r="J47" s="58">
        <f t="shared" si="31"/>
        <v>462.31773800000002</v>
      </c>
      <c r="K47" s="58">
        <f t="shared" si="31"/>
        <v>485.43700000000001</v>
      </c>
      <c r="L47" s="58">
        <f>M47</f>
        <v>480.7</v>
      </c>
      <c r="M47" s="51">
        <v>480.7</v>
      </c>
      <c r="N47" s="51">
        <v>480.7</v>
      </c>
      <c r="O47" s="51">
        <v>326</v>
      </c>
      <c r="P47" s="33"/>
      <c r="Q47" s="33"/>
      <c r="R47" s="33"/>
    </row>
    <row r="48" spans="1:21">
      <c r="A48" s="14" t="s">
        <v>77</v>
      </c>
      <c r="B48" s="33">
        <f t="shared" ref="B48:J48" si="32">C48+B37-F37</f>
        <v>124.17199999999993</v>
      </c>
      <c r="C48" s="33">
        <f t="shared" si="32"/>
        <v>74.668999999999926</v>
      </c>
      <c r="D48" s="33">
        <f t="shared" si="32"/>
        <v>32.801999999999936</v>
      </c>
      <c r="E48" s="33">
        <f t="shared" si="32"/>
        <v>21.270999999999926</v>
      </c>
      <c r="F48" s="33">
        <f t="shared" si="32"/>
        <v>24.397999999999939</v>
      </c>
      <c r="G48" s="33">
        <f t="shared" si="32"/>
        <v>80.058999999999926</v>
      </c>
      <c r="H48" s="33">
        <f t="shared" si="32"/>
        <v>182.727</v>
      </c>
      <c r="I48" s="33">
        <f t="shared" si="32"/>
        <v>213.58699999999999</v>
      </c>
      <c r="J48" s="33">
        <f t="shared" si="32"/>
        <v>202.49099999999999</v>
      </c>
      <c r="K48" s="51">
        <f>393.372-99.487</f>
        <v>293.88499999999999</v>
      </c>
      <c r="L48" s="33"/>
      <c r="M48" s="33"/>
      <c r="N48" s="33"/>
      <c r="O48" s="51"/>
      <c r="P48" s="33"/>
      <c r="Q48" s="33"/>
      <c r="R48" s="33"/>
    </row>
    <row r="50" spans="1:18" s="37" customFormat="1">
      <c r="A50" s="37" t="s">
        <v>78</v>
      </c>
      <c r="B50" s="37">
        <f t="shared" ref="B50" si="33">+SUM(B39:B40)/B47</f>
        <v>7.5696672916014691</v>
      </c>
      <c r="C50" s="37">
        <f t="shared" ref="C50:D50" si="34">+SUM(C39:C40)/C47</f>
        <v>7.8174603174603172</v>
      </c>
      <c r="D50" s="37">
        <f t="shared" si="34"/>
        <v>6.8776371308016877</v>
      </c>
      <c r="E50" s="37">
        <f t="shared" ref="E50:F50" si="35">+SUM(E39:E40)/E47</f>
        <v>6.0416666666666661</v>
      </c>
      <c r="F50" s="37">
        <f t="shared" si="35"/>
        <v>5.3802051901025951</v>
      </c>
      <c r="G50" s="37">
        <f t="shared" ref="G50:H50" si="36">+SUM(G39:G40)/G47</f>
        <v>4.7157331029889367</v>
      </c>
      <c r="H50" s="37">
        <f t="shared" si="36"/>
        <v>4.3493592256845339</v>
      </c>
      <c r="I50" s="37">
        <f t="shared" ref="I50:J50" si="37">+SUM(I39:I40)/I47</f>
        <v>3.912266896304009</v>
      </c>
      <c r="J50" s="37">
        <f t="shared" si="37"/>
        <v>3.8350248200946164</v>
      </c>
      <c r="K50" s="37">
        <f t="shared" ref="K50:L50" si="38">+SUM(K39:K40)/K47</f>
        <v>3.7365816779520307</v>
      </c>
      <c r="L50" s="37">
        <f t="shared" si="38"/>
        <v>3.8735177865612651</v>
      </c>
      <c r="M50" s="37">
        <f t="shared" ref="M50:O50" si="39">+SUM(M39:M40)/M47</f>
        <v>3.8735177865612651</v>
      </c>
      <c r="N50" s="37">
        <f t="shared" si="39"/>
        <v>4.0815477428749745</v>
      </c>
      <c r="O50" s="37">
        <f t="shared" si="39"/>
        <v>5.1380368098159508</v>
      </c>
    </row>
    <row r="51" spans="1:18" s="37" customFormat="1">
      <c r="A51" s="37" t="s">
        <v>79</v>
      </c>
      <c r="B51" s="37">
        <f t="shared" ref="B51:C51" si="40">+B41/B47</f>
        <v>7.5696672916014691</v>
      </c>
      <c r="C51" s="37">
        <f t="shared" si="40"/>
        <v>7.8174603174603172</v>
      </c>
      <c r="D51" s="37">
        <f t="shared" ref="D51:E51" si="41">+D41/D47</f>
        <v>6.8776371308016877</v>
      </c>
      <c r="E51" s="37">
        <f t="shared" si="41"/>
        <v>6.0416666666666661</v>
      </c>
      <c r="F51" s="37">
        <f t="shared" ref="F51:G51" si="42">+F41/F47</f>
        <v>5.3802051901025951</v>
      </c>
      <c r="G51" s="37">
        <f t="shared" si="42"/>
        <v>4.7157331029889367</v>
      </c>
      <c r="H51" s="37">
        <f t="shared" ref="H51:I51" si="43">+H41/H47</f>
        <v>4.3493592256845339</v>
      </c>
      <c r="I51" s="37">
        <f t="shared" si="43"/>
        <v>3.912266896304009</v>
      </c>
      <c r="J51" s="37">
        <f t="shared" ref="J51:K51" si="44">+J41/J47</f>
        <v>3.8350248200946164</v>
      </c>
      <c r="K51" s="37">
        <f t="shared" si="44"/>
        <v>3.7365816779520307</v>
      </c>
      <c r="L51" s="37">
        <f t="shared" ref="L51:O51" si="45">+L41/L47</f>
        <v>3.8735177865612651</v>
      </c>
      <c r="M51" s="37">
        <f t="shared" si="45"/>
        <v>3.8735177865612651</v>
      </c>
      <c r="N51" s="37">
        <f t="shared" si="45"/>
        <v>4.0815477428749745</v>
      </c>
      <c r="O51" s="37">
        <f t="shared" si="45"/>
        <v>5.1380368098159508</v>
      </c>
    </row>
    <row r="52" spans="1:18" s="37" customFormat="1">
      <c r="A52" s="37" t="s">
        <v>80</v>
      </c>
      <c r="B52" s="37">
        <f t="shared" ref="B52:C52" si="46">+(B41-B44)/B47</f>
        <v>7.4027538003738815</v>
      </c>
      <c r="C52" s="37">
        <f t="shared" si="46"/>
        <v>7.6663359788359777</v>
      </c>
      <c r="D52" s="37">
        <f t="shared" ref="D52:E52" si="47">+(D41-D44)/D47</f>
        <v>6.7723782125047949</v>
      </c>
      <c r="E52" s="37">
        <f t="shared" si="47"/>
        <v>5.981364247311828</v>
      </c>
      <c r="F52" s="37">
        <f t="shared" ref="F52:G52" si="48">+(F41-F44)/F47</f>
        <v>5.3568587809293904</v>
      </c>
      <c r="G52" s="37">
        <f t="shared" si="48"/>
        <v>4.7021529521235621</v>
      </c>
      <c r="H52" s="37">
        <f t="shared" ref="H52:I52" si="49">+(H41-H44)/H47</f>
        <v>4.3259337903153314</v>
      </c>
      <c r="I52" s="37">
        <f t="shared" si="49"/>
        <v>3.8970725387240508</v>
      </c>
      <c r="J52" s="37">
        <f t="shared" ref="J52:K52" si="50">+(J41-J44)/J47</f>
        <v>3.8105301185739924</v>
      </c>
      <c r="K52" s="37">
        <f t="shared" si="50"/>
        <v>3.7035784252127466</v>
      </c>
      <c r="L52" s="37">
        <f t="shared" ref="L52:O52" si="51">+(L41-L44)/L47</f>
        <v>3.8382151029748286</v>
      </c>
      <c r="M52" s="37">
        <f t="shared" si="51"/>
        <v>3.8360723944247974</v>
      </c>
      <c r="N52" s="37">
        <f t="shared" si="51"/>
        <v>4.0441023507385063</v>
      </c>
      <c r="O52" s="37">
        <f t="shared" si="51"/>
        <v>5.110429447852761</v>
      </c>
    </row>
    <row r="53" spans="1:18" s="38" customFormat="1">
      <c r="A53" s="38" t="s">
        <v>81</v>
      </c>
      <c r="B53" s="38">
        <f t="shared" ref="B53:C53" si="52">+B48/B41</f>
        <v>7.1336323776782964E-2</v>
      </c>
      <c r="C53" s="38">
        <f t="shared" si="52"/>
        <v>4.2114495205865722E-2</v>
      </c>
      <c r="D53" s="38">
        <f t="shared" ref="D53:E53" si="53">+D48/D41</f>
        <v>1.8294478527607325E-2</v>
      </c>
      <c r="E53" s="38">
        <f t="shared" si="53"/>
        <v>1.1830367074527212E-2</v>
      </c>
      <c r="F53" s="38">
        <f t="shared" ref="F53:G53" si="54">+F48/F41</f>
        <v>1.3683679192372372E-2</v>
      </c>
      <c r="G53" s="38">
        <f t="shared" si="54"/>
        <v>4.4775727069351193E-2</v>
      </c>
      <c r="H53" s="38">
        <f t="shared" ref="H53:I53" si="55">+H48/H41</f>
        <v>0.10306091370558376</v>
      </c>
      <c r="I53" s="38">
        <f t="shared" si="55"/>
        <v>0.12046644106034968</v>
      </c>
      <c r="J53" s="38">
        <f t="shared" ref="J53:K53" si="56">+J48/J41</f>
        <v>0.11420812182741116</v>
      </c>
      <c r="K53" s="38">
        <f t="shared" si="56"/>
        <v>0.16202053614499345</v>
      </c>
    </row>
    <row r="54" spans="1:18" s="38" customFormat="1">
      <c r="A54" s="39" t="s">
        <v>82</v>
      </c>
      <c r="B54" s="40">
        <v>6</v>
      </c>
      <c r="C54" s="40">
        <v>6</v>
      </c>
      <c r="D54" s="40">
        <v>6</v>
      </c>
      <c r="E54" s="40">
        <v>6</v>
      </c>
      <c r="F54" s="40">
        <v>6</v>
      </c>
      <c r="G54" s="40">
        <v>6</v>
      </c>
      <c r="H54" s="40">
        <v>6</v>
      </c>
      <c r="I54" s="40">
        <v>6</v>
      </c>
      <c r="J54" s="40">
        <v>6</v>
      </c>
      <c r="K54" s="40">
        <v>6</v>
      </c>
      <c r="L54" s="40">
        <v>6</v>
      </c>
      <c r="M54" s="40">
        <v>6</v>
      </c>
      <c r="N54" s="40">
        <v>6</v>
      </c>
      <c r="O54" s="40">
        <v>6</v>
      </c>
      <c r="P54" s="40"/>
      <c r="Q54" s="40"/>
      <c r="R54" s="40"/>
    </row>
    <row r="55" spans="1:18" s="38" customFormat="1">
      <c r="A55" s="38" t="s">
        <v>83</v>
      </c>
      <c r="B55" s="41" t="str">
        <f t="shared" ref="B55:C55" si="57">IF(B42=0,IF(B54="","","*"&amp;TEXT(B54,"0.0x")),(B41+B42-B44)/B47)</f>
        <v>*6.0x</v>
      </c>
      <c r="C55" s="41" t="str">
        <f t="shared" si="57"/>
        <v>*6.0x</v>
      </c>
      <c r="D55" s="41" t="str">
        <f t="shared" ref="D55:E55" si="58">IF(D42=0,IF(D54="","","*"&amp;TEXT(D54,"0.0x")),(D41+D42-D44)/D47)</f>
        <v>*6.0x</v>
      </c>
      <c r="E55" s="41" t="str">
        <f t="shared" si="58"/>
        <v>*6.0x</v>
      </c>
      <c r="F55" s="41" t="str">
        <f t="shared" ref="F55:G55" si="59">IF(F42=0,IF(F54="","","*"&amp;TEXT(F54,"0.0x")),(F41+F42-F44)/F47)</f>
        <v>*6.0x</v>
      </c>
      <c r="G55" s="41" t="str">
        <f t="shared" si="59"/>
        <v>*6.0x</v>
      </c>
      <c r="H55" s="41" t="str">
        <f t="shared" ref="H55:I55" si="60">IF(H42=0,IF(H54="","","*"&amp;TEXT(H54,"0.0x")),(H41+H42-H44)/H47)</f>
        <v>*6.0x</v>
      </c>
      <c r="I55" s="41" t="str">
        <f t="shared" si="60"/>
        <v>*6.0x</v>
      </c>
      <c r="J55" s="41" t="str">
        <f t="shared" ref="J55:K55" si="61">IF(J42=0,IF(J54="","","*"&amp;TEXT(J54,"0.0x")),(J41+J42-J44)/J47)</f>
        <v>*6.0x</v>
      </c>
      <c r="K55" s="41" t="str">
        <f t="shared" si="61"/>
        <v>*6.0x</v>
      </c>
      <c r="L55" s="41" t="str">
        <f t="shared" ref="L55:O55" si="62">IF(L42=0,IF(L54="","","*"&amp;TEXT(L54,"0.0x")),(L41+L42-L44)/L47)</f>
        <v>*6.0x</v>
      </c>
      <c r="M55" s="41" t="str">
        <f t="shared" si="62"/>
        <v>*6.0x</v>
      </c>
      <c r="N55" s="41" t="str">
        <f t="shared" si="62"/>
        <v>*6.0x</v>
      </c>
      <c r="O55" s="41" t="str">
        <f t="shared" si="62"/>
        <v>*6.0x</v>
      </c>
      <c r="P55" s="41"/>
      <c r="Q55" s="41"/>
      <c r="R55" s="41"/>
    </row>
    <row r="57" spans="1:18" ht="80.25" customHeight="1">
      <c r="A57" s="43" t="s">
        <v>84</v>
      </c>
      <c r="B57" s="44" t="s">
        <v>423</v>
      </c>
      <c r="C57" s="44" t="s">
        <v>423</v>
      </c>
      <c r="D57" s="44" t="s">
        <v>423</v>
      </c>
      <c r="E57" s="44" t="s">
        <v>423</v>
      </c>
      <c r="F57" s="44" t="s">
        <v>423</v>
      </c>
      <c r="G57" s="44" t="s">
        <v>423</v>
      </c>
      <c r="H57" s="44" t="s">
        <v>423</v>
      </c>
      <c r="I57" s="44" t="s">
        <v>289</v>
      </c>
      <c r="J57" s="44" t="s">
        <v>289</v>
      </c>
      <c r="K57" s="44" t="s">
        <v>289</v>
      </c>
      <c r="L57" s="44" t="s">
        <v>289</v>
      </c>
      <c r="M57" s="44" t="s">
        <v>298</v>
      </c>
      <c r="N57" s="44" t="s">
        <v>298</v>
      </c>
      <c r="O57" s="44" t="s">
        <v>297</v>
      </c>
      <c r="P57" s="44"/>
      <c r="Q57" s="44"/>
      <c r="R57" s="44"/>
    </row>
    <row r="58" spans="1:18">
      <c r="A58" s="45"/>
      <c r="B58" s="42"/>
      <c r="C58" s="42"/>
      <c r="D58" s="42"/>
      <c r="E58" s="42"/>
      <c r="F58" s="42"/>
      <c r="G58" s="42"/>
      <c r="H58" s="42"/>
      <c r="I58" s="42"/>
      <c r="J58" s="42"/>
      <c r="K58" s="42"/>
      <c r="L58" s="42"/>
      <c r="M58" s="42"/>
      <c r="N58" s="42"/>
      <c r="O58" s="42"/>
    </row>
    <row r="59" spans="1:18">
      <c r="A59" s="45"/>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U59"/>
  <sheetViews>
    <sheetView showGridLines="0" tabSelected="1" zoomScaleNormal="100" workbookViewId="0">
      <pane xSplit="1" ySplit="10" topLeftCell="B11" activePane="bottomRight" state="frozen"/>
      <selection activeCell="B7" sqref="B7"/>
      <selection pane="topRight" activeCell="B7" sqref="B7"/>
      <selection pane="bottomLeft" activeCell="B7" sqref="B7"/>
      <selection pane="bottomRight" activeCell="P55" sqref="P12:P55"/>
    </sheetView>
  </sheetViews>
  <sheetFormatPr defaultColWidth="9.109375" defaultRowHeight="13.8"/>
  <cols>
    <col min="1" max="1" width="22.6640625" style="14" customWidth="1"/>
    <col min="2" max="15" width="10.6640625" style="14" customWidth="1"/>
    <col min="16" max="16384" width="9.109375" style="14"/>
  </cols>
  <sheetData>
    <row r="2" spans="1:17">
      <c r="A2" s="13" t="s">
        <v>44</v>
      </c>
      <c r="B2" s="14" t="s">
        <v>405</v>
      </c>
    </row>
    <row r="3" spans="1:17" s="16" customFormat="1">
      <c r="A3" s="15" t="s">
        <v>45</v>
      </c>
      <c r="B3" s="16" t="s">
        <v>244</v>
      </c>
    </row>
    <row r="4" spans="1:17">
      <c r="A4" s="13" t="s">
        <v>2</v>
      </c>
      <c r="B4" s="14" t="s">
        <v>4</v>
      </c>
    </row>
    <row r="5" spans="1:17">
      <c r="A5" s="13" t="s">
        <v>46</v>
      </c>
    </row>
    <row r="6" spans="1:17">
      <c r="A6" s="13" t="s">
        <v>47</v>
      </c>
    </row>
    <row r="7" spans="1:17">
      <c r="A7" s="13" t="s">
        <v>48</v>
      </c>
      <c r="B7" s="14" t="s">
        <v>464</v>
      </c>
    </row>
    <row r="8" spans="1:17">
      <c r="A8" s="13" t="s">
        <v>347</v>
      </c>
      <c r="B8" s="14" t="s">
        <v>401</v>
      </c>
    </row>
    <row r="9" spans="1:17">
      <c r="A9" s="17"/>
    </row>
    <row r="10" spans="1:17">
      <c r="A10" s="17" t="s">
        <v>49</v>
      </c>
      <c r="B10" s="18">
        <v>43646</v>
      </c>
      <c r="C10" s="18">
        <v>43555</v>
      </c>
      <c r="D10" s="18">
        <v>43465</v>
      </c>
      <c r="E10" s="18">
        <v>43373</v>
      </c>
      <c r="F10" s="18">
        <v>43281</v>
      </c>
      <c r="G10" s="18">
        <v>43190</v>
      </c>
      <c r="H10" s="18">
        <v>43100</v>
      </c>
      <c r="I10" s="18">
        <f>EOMONTH(H10,-3)</f>
        <v>43008</v>
      </c>
      <c r="J10" s="18">
        <f t="shared" ref="J10:O10" si="0">EOMONTH(I10,-3)</f>
        <v>42916</v>
      </c>
      <c r="K10" s="18">
        <f t="shared" si="0"/>
        <v>42825</v>
      </c>
      <c r="L10" s="18">
        <f t="shared" si="0"/>
        <v>42735</v>
      </c>
      <c r="M10" s="18">
        <f t="shared" si="0"/>
        <v>42643</v>
      </c>
      <c r="N10" s="18">
        <f t="shared" si="0"/>
        <v>42551</v>
      </c>
      <c r="O10" s="18">
        <f t="shared" si="0"/>
        <v>42460</v>
      </c>
    </row>
    <row r="12" spans="1:17">
      <c r="A12" s="19" t="s">
        <v>50</v>
      </c>
      <c r="B12" s="20">
        <f>132.717</f>
        <v>132.71700000000001</v>
      </c>
      <c r="C12" s="20">
        <v>119.426</v>
      </c>
      <c r="D12" s="20">
        <f>475.491-E12-F12-G12</f>
        <v>96.022999999999968</v>
      </c>
      <c r="E12" s="20">
        <v>114.687</v>
      </c>
      <c r="F12" s="20">
        <f>89.582+44.949</f>
        <v>134.53100000000001</v>
      </c>
      <c r="G12" s="20">
        <v>130.25</v>
      </c>
      <c r="H12" s="20">
        <f>472.996-I12-J12-K12</f>
        <v>110.14900711999998</v>
      </c>
      <c r="I12" s="20">
        <v>117.81</v>
      </c>
      <c r="J12" s="20">
        <v>127.148</v>
      </c>
      <c r="K12" s="20">
        <v>117.88899288</v>
      </c>
      <c r="L12" s="20">
        <v>93.328920670000002</v>
      </c>
      <c r="M12" s="20">
        <v>105.93958633999998</v>
      </c>
      <c r="N12" s="20">
        <v>112.40108545000001</v>
      </c>
      <c r="O12" s="20">
        <v>103.75512960999998</v>
      </c>
    </row>
    <row r="13" spans="1:17" s="21" customFormat="1">
      <c r="A13" s="21" t="s">
        <v>51</v>
      </c>
      <c r="B13" s="21">
        <f>+B12/F12-1</f>
        <v>-1.3483881038571011E-2</v>
      </c>
      <c r="C13" s="21">
        <f>+C12/G12-1</f>
        <v>-8.3101727447216889E-2</v>
      </c>
      <c r="D13" s="21">
        <f>+D12/H12-1</f>
        <v>-0.12824452520584839</v>
      </c>
      <c r="E13" s="21">
        <f>+E12/I12-1</f>
        <v>-2.6508785332314821E-2</v>
      </c>
      <c r="F13" s="21">
        <f>+F12/J12-1</f>
        <v>5.8066190581055332E-2</v>
      </c>
      <c r="G13" s="21">
        <f t="shared" ref="G13:K13" si="1">+G12/K12-1</f>
        <v>0.10485293680116814</v>
      </c>
      <c r="H13" s="21">
        <f t="shared" si="1"/>
        <v>0.18022373267846747</v>
      </c>
      <c r="I13" s="21">
        <f t="shared" si="1"/>
        <v>0.11204889569705712</v>
      </c>
      <c r="J13" s="21">
        <f t="shared" si="1"/>
        <v>0.13119904039147312</v>
      </c>
      <c r="K13" s="21">
        <f t="shared" si="1"/>
        <v>0.13622327226737707</v>
      </c>
    </row>
    <row r="14" spans="1:17" s="24" customFormat="1">
      <c r="A14" s="22" t="s">
        <v>52</v>
      </c>
      <c r="B14" s="23" t="s">
        <v>3</v>
      </c>
      <c r="C14" s="23" t="s">
        <v>3</v>
      </c>
      <c r="D14" s="23" t="s">
        <v>3</v>
      </c>
      <c r="E14" s="23" t="s">
        <v>3</v>
      </c>
      <c r="F14" s="23" t="s">
        <v>3</v>
      </c>
      <c r="G14" s="23" t="s">
        <v>3</v>
      </c>
      <c r="H14" s="23" t="s">
        <v>3</v>
      </c>
      <c r="I14" s="23" t="s">
        <v>3</v>
      </c>
      <c r="J14" s="23" t="s">
        <v>3</v>
      </c>
      <c r="K14" s="23" t="s">
        <v>3</v>
      </c>
      <c r="L14" s="22"/>
      <c r="M14" s="22"/>
      <c r="N14" s="22"/>
      <c r="O14" s="22"/>
    </row>
    <row r="16" spans="1:17" s="17" customFormat="1">
      <c r="A16" s="25" t="s">
        <v>53</v>
      </c>
      <c r="B16" s="26">
        <f>21.751+0.331+0.004</f>
        <v>22.086000000000002</v>
      </c>
      <c r="C16" s="26">
        <v>20.465</v>
      </c>
      <c r="D16" s="26">
        <f>D22-D21-D20-D19</f>
        <v>13.079999999999998</v>
      </c>
      <c r="E16" s="26">
        <f>11.905</f>
        <v>11.904999999999999</v>
      </c>
      <c r="F16" s="26">
        <f>6.121+0.626-0.031</f>
        <v>6.7160000000000011</v>
      </c>
      <c r="G16" s="26">
        <v>20.744</v>
      </c>
      <c r="H16" s="26">
        <f>H22-H21-H20-H19</f>
        <v>10.175594458986961</v>
      </c>
      <c r="I16" s="26">
        <f>16.979+0.861</f>
        <v>17.84</v>
      </c>
      <c r="J16" s="26">
        <f>19.687+0.851-0.023</f>
        <v>20.515000000000001</v>
      </c>
      <c r="K16" s="26">
        <v>19.480405541013038</v>
      </c>
      <c r="L16" s="26">
        <v>11.968311099649906</v>
      </c>
      <c r="M16" s="26">
        <v>16.620640680090332</v>
      </c>
      <c r="N16" s="26">
        <v>20.82346294941836</v>
      </c>
      <c r="O16" s="26">
        <v>17.688483595959994</v>
      </c>
      <c r="Q16" s="14"/>
    </row>
    <row r="17" spans="1:20" s="21" customFormat="1">
      <c r="A17" s="21" t="s">
        <v>54</v>
      </c>
      <c r="B17" s="21">
        <f t="shared" ref="B17:H17" si="2">+B16/B12</f>
        <v>0.16641424987002418</v>
      </c>
      <c r="C17" s="21">
        <f t="shared" si="2"/>
        <v>0.17136134510073184</v>
      </c>
      <c r="D17" s="21">
        <f t="shared" si="2"/>
        <v>0.13621736458973374</v>
      </c>
      <c r="E17" s="21">
        <f t="shared" si="2"/>
        <v>0.10380426726656029</v>
      </c>
      <c r="F17" s="21">
        <f t="shared" si="2"/>
        <v>4.9921579412923418E-2</v>
      </c>
      <c r="G17" s="21">
        <f t="shared" si="2"/>
        <v>0.15926295585412667</v>
      </c>
      <c r="H17" s="21">
        <f t="shared" si="2"/>
        <v>9.2380264925142092E-2</v>
      </c>
      <c r="I17" s="21">
        <f t="shared" ref="I17:O17" si="3">+I16/I12</f>
        <v>0.1514302690773279</v>
      </c>
      <c r="J17" s="21">
        <f t="shared" si="3"/>
        <v>0.16134740617233462</v>
      </c>
      <c r="K17" s="21">
        <f t="shared" si="3"/>
        <v>0.16524363356672556</v>
      </c>
      <c r="L17" s="21">
        <f t="shared" si="3"/>
        <v>0.12823796754243452</v>
      </c>
      <c r="M17" s="21">
        <f t="shared" si="3"/>
        <v>0.15688791370912517</v>
      </c>
      <c r="N17" s="21">
        <f t="shared" si="3"/>
        <v>0.18526033682015797</v>
      </c>
      <c r="O17" s="21">
        <f t="shared" si="3"/>
        <v>0.17048297913026911</v>
      </c>
    </row>
    <row r="18" spans="1:20" s="24" customFormat="1"/>
    <row r="19" spans="1:20" s="24" customFormat="1">
      <c r="A19" s="19" t="s">
        <v>55</v>
      </c>
      <c r="B19" s="20">
        <v>0.161</v>
      </c>
      <c r="C19" s="20">
        <f>15.885-D19-E19-F19</f>
        <v>0</v>
      </c>
      <c r="D19" s="20">
        <f>15.885-E19-F19-G19</f>
        <v>0.38599999999999923</v>
      </c>
      <c r="E19" s="20">
        <v>5.3999999999999999E-2</v>
      </c>
      <c r="F19" s="20">
        <v>15.445</v>
      </c>
      <c r="G19" s="20">
        <v>0</v>
      </c>
      <c r="H19" s="20">
        <f>5.036-I19-J19-K19</f>
        <v>4.8129999999999997</v>
      </c>
      <c r="I19" s="20">
        <v>0.13</v>
      </c>
      <c r="J19" s="20">
        <v>9.2999999999999999E-2</v>
      </c>
      <c r="K19" s="20">
        <v>0</v>
      </c>
      <c r="L19" s="20">
        <v>0</v>
      </c>
      <c r="M19" s="20">
        <v>0</v>
      </c>
      <c r="N19" s="20">
        <v>0</v>
      </c>
      <c r="O19" s="20">
        <v>0</v>
      </c>
    </row>
    <row r="20" spans="1:20" s="24" customFormat="1">
      <c r="A20" s="19" t="s">
        <v>56</v>
      </c>
      <c r="B20" s="20">
        <v>0</v>
      </c>
      <c r="C20" s="20">
        <v>0</v>
      </c>
      <c r="D20" s="20">
        <v>0</v>
      </c>
      <c r="E20" s="20">
        <v>0</v>
      </c>
      <c r="F20" s="20">
        <v>0</v>
      </c>
      <c r="G20" s="20">
        <v>0</v>
      </c>
      <c r="H20" s="20">
        <v>0</v>
      </c>
      <c r="I20" s="20">
        <v>0</v>
      </c>
      <c r="J20" s="20">
        <v>0</v>
      </c>
      <c r="K20" s="20">
        <v>0</v>
      </c>
      <c r="L20" s="20">
        <v>0</v>
      </c>
      <c r="M20" s="20">
        <v>0</v>
      </c>
      <c r="N20" s="20">
        <v>0</v>
      </c>
      <c r="O20" s="20">
        <v>0</v>
      </c>
    </row>
    <row r="21" spans="1:20" s="24" customFormat="1">
      <c r="A21" s="19" t="s">
        <v>57</v>
      </c>
      <c r="B21" s="20">
        <f t="shared" ref="B21:J21" si="4">B22-B16-B19-B20</f>
        <v>1.7769999999999988</v>
      </c>
      <c r="C21" s="20">
        <f>1.174+0.231+1.949-D21-E21-F21</f>
        <v>0</v>
      </c>
      <c r="D21" s="20">
        <f>1.174+0.231+1.949-E21-F21-G21</f>
        <v>-2.2349999999999985</v>
      </c>
      <c r="E21" s="20">
        <f t="shared" si="4"/>
        <v>4.6359999999999992</v>
      </c>
      <c r="F21" s="20">
        <f t="shared" si="4"/>
        <v>0.9529999999999994</v>
      </c>
      <c r="G21" s="20">
        <v>0</v>
      </c>
      <c r="H21" s="20">
        <f>1.057+0.196+1.423-I21-J21-K21</f>
        <v>-0.41399999999999881</v>
      </c>
      <c r="I21" s="20">
        <f t="shared" si="4"/>
        <v>0.48400000000000076</v>
      </c>
      <c r="J21" s="20">
        <f t="shared" si="4"/>
        <v>2.6059999999999981</v>
      </c>
      <c r="K21" s="20">
        <v>0</v>
      </c>
      <c r="L21" s="20">
        <v>0</v>
      </c>
      <c r="M21" s="20">
        <v>0</v>
      </c>
      <c r="N21" s="20">
        <v>0</v>
      </c>
      <c r="O21" s="20">
        <v>0</v>
      </c>
    </row>
    <row r="22" spans="1:20" s="17" customFormat="1">
      <c r="A22" s="17" t="s">
        <v>58</v>
      </c>
      <c r="B22" s="27">
        <v>24.024000000000001</v>
      </c>
      <c r="C22" s="27">
        <f>SUM(C16,C19:C21)</f>
        <v>20.465</v>
      </c>
      <c r="D22" s="27">
        <f>71.684-E22-F22-G22</f>
        <v>11.230999999999998</v>
      </c>
      <c r="E22" s="27">
        <v>16.594999999999999</v>
      </c>
      <c r="F22" s="27">
        <v>23.114000000000001</v>
      </c>
      <c r="G22" s="27">
        <f>SUM(G16,G19:G21)</f>
        <v>20.744</v>
      </c>
      <c r="H22" s="27">
        <f>75.723-I22-J22-K22</f>
        <v>14.574594458986962</v>
      </c>
      <c r="I22" s="27">
        <v>18.454000000000001</v>
      </c>
      <c r="J22" s="27">
        <v>23.213999999999999</v>
      </c>
      <c r="K22" s="27">
        <f t="shared" ref="K22:O22" si="5">SUM(K16,K19:K21)</f>
        <v>19.480405541013038</v>
      </c>
      <c r="L22" s="27">
        <f t="shared" si="5"/>
        <v>11.968311099649906</v>
      </c>
      <c r="M22" s="27">
        <f t="shared" si="5"/>
        <v>16.620640680090332</v>
      </c>
      <c r="N22" s="27">
        <f t="shared" si="5"/>
        <v>20.82346294941836</v>
      </c>
      <c r="O22" s="27">
        <f t="shared" si="5"/>
        <v>17.688483595959994</v>
      </c>
    </row>
    <row r="23" spans="1:20" s="17" customFormat="1">
      <c r="B23" s="21"/>
      <c r="C23" s="21"/>
      <c r="D23" s="21"/>
      <c r="E23" s="27"/>
      <c r="F23" s="27"/>
      <c r="G23" s="27"/>
      <c r="H23" s="27"/>
      <c r="I23" s="27"/>
      <c r="J23" s="27"/>
      <c r="K23" s="27"/>
      <c r="L23" s="27"/>
      <c r="M23" s="27"/>
      <c r="N23" s="27"/>
      <c r="O23" s="27"/>
    </row>
    <row r="24" spans="1:20" s="17" customFormat="1">
      <c r="A24" s="17" t="s">
        <v>59</v>
      </c>
      <c r="B24" s="27">
        <f>SUM(B22:E22)</f>
        <v>72.314999999999998</v>
      </c>
      <c r="C24" s="27">
        <f>SUM(C22:F22)</f>
        <v>71.405000000000001</v>
      </c>
      <c r="D24" s="27">
        <f>SUM(D22:G22)</f>
        <v>71.683999999999997</v>
      </c>
      <c r="E24" s="27">
        <f>SUM(E22:H22)</f>
        <v>75.027594458986968</v>
      </c>
      <c r="F24" s="27">
        <f>SUM(F22:I22)</f>
        <v>76.886594458986963</v>
      </c>
      <c r="G24" s="27">
        <f t="shared" ref="G24:L24" si="6">SUM(G22:J22)</f>
        <v>76.986594458986957</v>
      </c>
      <c r="H24" s="27">
        <f t="shared" si="6"/>
        <v>75.722999999999999</v>
      </c>
      <c r="I24" s="27">
        <f t="shared" si="6"/>
        <v>73.116716640662943</v>
      </c>
      <c r="J24" s="27">
        <f t="shared" si="6"/>
        <v>71.283357320753282</v>
      </c>
      <c r="K24" s="27">
        <f t="shared" si="6"/>
        <v>68.89282027017164</v>
      </c>
      <c r="L24" s="27">
        <f t="shared" si="6"/>
        <v>67.100898325118592</v>
      </c>
      <c r="M24" s="27"/>
      <c r="N24" s="27"/>
      <c r="O24" s="27"/>
    </row>
    <row r="25" spans="1:20" s="24" customFormat="1">
      <c r="A25" s="19" t="s">
        <v>60</v>
      </c>
      <c r="B25" s="28">
        <v>0</v>
      </c>
      <c r="C25" s="28">
        <v>0</v>
      </c>
      <c r="D25" s="28">
        <v>0</v>
      </c>
      <c r="E25" s="28">
        <f>F25</f>
        <v>3.777000000000001</v>
      </c>
      <c r="F25" s="28">
        <f>G25</f>
        <v>3.777000000000001</v>
      </c>
      <c r="G25" s="28">
        <f>H25</f>
        <v>3.777000000000001</v>
      </c>
      <c r="H25" s="28">
        <f>79.5-H24</f>
        <v>3.777000000000001</v>
      </c>
      <c r="I25" s="28">
        <v>0</v>
      </c>
      <c r="J25" s="28">
        <v>0</v>
      </c>
      <c r="K25" s="28">
        <v>0</v>
      </c>
      <c r="L25" s="28">
        <v>0</v>
      </c>
      <c r="M25" s="28"/>
      <c r="N25" s="28"/>
      <c r="O25" s="28"/>
      <c r="P25" s="89"/>
    </row>
    <row r="26" spans="1:20" s="24" customFormat="1">
      <c r="A26" s="19" t="s">
        <v>61</v>
      </c>
      <c r="B26" s="29">
        <v>0</v>
      </c>
      <c r="C26" s="29">
        <v>0</v>
      </c>
      <c r="D26" s="29">
        <v>0</v>
      </c>
      <c r="E26" s="29">
        <v>0</v>
      </c>
      <c r="F26" s="29">
        <v>0</v>
      </c>
      <c r="G26" s="29">
        <v>0</v>
      </c>
      <c r="H26" s="29">
        <v>0</v>
      </c>
      <c r="I26" s="29">
        <v>0</v>
      </c>
      <c r="J26" s="29">
        <v>0</v>
      </c>
      <c r="K26" s="29">
        <v>0</v>
      </c>
      <c r="L26" s="29">
        <v>0</v>
      </c>
      <c r="M26" s="30"/>
      <c r="N26" s="30"/>
      <c r="O26" s="30"/>
    </row>
    <row r="27" spans="1:20" s="32" customFormat="1">
      <c r="A27" s="17" t="s">
        <v>62</v>
      </c>
      <c r="B27" s="27">
        <f>SUM(B24:B26)</f>
        <v>72.314999999999998</v>
      </c>
      <c r="C27" s="27">
        <f>SUM(C24:C26)</f>
        <v>71.405000000000001</v>
      </c>
      <c r="D27" s="27">
        <f>SUM(D24:D26)</f>
        <v>71.683999999999997</v>
      </c>
      <c r="E27" s="27">
        <f>SUM(E24:E26)</f>
        <v>78.804594458986969</v>
      </c>
      <c r="F27" s="27">
        <f>SUM(F24:F26)</f>
        <v>80.663594458986964</v>
      </c>
      <c r="G27" s="27">
        <f t="shared" ref="G27:L27" si="7">SUM(G24:G26)</f>
        <v>80.763594458986958</v>
      </c>
      <c r="H27" s="27">
        <f t="shared" si="7"/>
        <v>79.5</v>
      </c>
      <c r="I27" s="27">
        <f t="shared" si="7"/>
        <v>73.116716640662943</v>
      </c>
      <c r="J27" s="27">
        <f t="shared" si="7"/>
        <v>71.283357320753282</v>
      </c>
      <c r="K27" s="27">
        <f t="shared" si="7"/>
        <v>68.89282027017164</v>
      </c>
      <c r="L27" s="27">
        <f t="shared" si="7"/>
        <v>67.100898325118592</v>
      </c>
      <c r="M27" s="31"/>
      <c r="N27" s="31"/>
      <c r="O27" s="31"/>
    </row>
    <row r="28" spans="1:20" s="24" customFormat="1"/>
    <row r="29" spans="1:20" s="17" customFormat="1">
      <c r="A29" s="17" t="s">
        <v>58</v>
      </c>
      <c r="B29" s="27">
        <f t="shared" ref="B29:G29" si="8">B22</f>
        <v>24.024000000000001</v>
      </c>
      <c r="C29" s="27">
        <f t="shared" si="8"/>
        <v>20.465</v>
      </c>
      <c r="D29" s="27">
        <f t="shared" si="8"/>
        <v>11.230999999999998</v>
      </c>
      <c r="E29" s="27">
        <f t="shared" si="8"/>
        <v>16.594999999999999</v>
      </c>
      <c r="F29" s="27">
        <f t="shared" si="8"/>
        <v>23.114000000000001</v>
      </c>
      <c r="G29" s="27">
        <f t="shared" si="8"/>
        <v>20.744</v>
      </c>
      <c r="H29" s="27">
        <f t="shared" ref="H29:O29" si="9">H22</f>
        <v>14.574594458986962</v>
      </c>
      <c r="I29" s="27">
        <f t="shared" si="9"/>
        <v>18.454000000000001</v>
      </c>
      <c r="J29" s="27">
        <f t="shared" si="9"/>
        <v>23.213999999999999</v>
      </c>
      <c r="K29" s="27">
        <f t="shared" si="9"/>
        <v>19.480405541013038</v>
      </c>
      <c r="L29" s="27">
        <f t="shared" si="9"/>
        <v>11.968311099649906</v>
      </c>
      <c r="M29" s="27">
        <f t="shared" si="9"/>
        <v>16.620640680090332</v>
      </c>
      <c r="N29" s="27">
        <f t="shared" si="9"/>
        <v>20.82346294941836</v>
      </c>
      <c r="O29" s="27">
        <f t="shared" si="9"/>
        <v>17.688483595959994</v>
      </c>
      <c r="R29" s="75"/>
      <c r="S29" s="75"/>
      <c r="T29" s="75"/>
    </row>
    <row r="30" spans="1:20" s="33" customFormat="1">
      <c r="A30" s="20" t="s">
        <v>63</v>
      </c>
      <c r="B30" s="20">
        <f>-28.344+0.963-C30</f>
        <v>-15.673999999999999</v>
      </c>
      <c r="C30" s="20">
        <f>-12.186+0.479</f>
        <v>-11.707000000000001</v>
      </c>
      <c r="D30" s="20">
        <f>-30.45-14.081-E30-F30-G30</f>
        <v>-18.996000000000002</v>
      </c>
      <c r="E30" s="20">
        <v>-10.345000000000001</v>
      </c>
      <c r="F30" s="20">
        <f>-6.885-9.141+0.331+0.505-G30</f>
        <v>-8.36</v>
      </c>
      <c r="G30" s="20">
        <f>-7.209+0.379</f>
        <v>-6.83</v>
      </c>
      <c r="H30" s="20">
        <f>-17.215-I30-J30-K30</f>
        <v>2.8120000000000003</v>
      </c>
      <c r="I30" s="20">
        <v>-7.1609999999999996</v>
      </c>
      <c r="J30" s="20">
        <v>-6.98</v>
      </c>
      <c r="K30" s="20">
        <v>-5.8860000000000001</v>
      </c>
      <c r="L30" s="20">
        <v>0</v>
      </c>
      <c r="M30" s="20">
        <v>0</v>
      </c>
      <c r="N30" s="20">
        <v>0</v>
      </c>
      <c r="O30" s="20">
        <v>0</v>
      </c>
    </row>
    <row r="31" spans="1:20" s="33" customFormat="1">
      <c r="A31" s="20" t="s">
        <v>64</v>
      </c>
      <c r="B31" s="20">
        <f>2.545-9.877-C31</f>
        <v>-7.3320000000000007</v>
      </c>
      <c r="C31" s="20">
        <f>0.924-0.924</f>
        <v>0</v>
      </c>
      <c r="D31" s="20">
        <f>1.74-0.097-E31-F31-G31</f>
        <v>-8.343</v>
      </c>
      <c r="E31" s="20">
        <v>9.0779999999999994</v>
      </c>
      <c r="F31" s="20">
        <f>8.721-7.813-G31</f>
        <v>2.8860000000000001</v>
      </c>
      <c r="G31" s="20">
        <f>-1.569-0.409</f>
        <v>-1.978</v>
      </c>
      <c r="H31" s="20">
        <f>-10.124-I31-J31-K31</f>
        <v>-8.2060000000000013</v>
      </c>
      <c r="I31" s="20">
        <v>-0.58799999999999997</v>
      </c>
      <c r="J31" s="20">
        <v>-2.1339999999999999</v>
      </c>
      <c r="K31" s="20">
        <v>0.80400000000000005</v>
      </c>
      <c r="L31" s="20">
        <v>0</v>
      </c>
      <c r="M31" s="20">
        <v>0</v>
      </c>
      <c r="N31" s="20">
        <v>0</v>
      </c>
      <c r="O31" s="20">
        <v>0</v>
      </c>
    </row>
    <row r="32" spans="1:20" s="33" customFormat="1">
      <c r="A32" s="20" t="s">
        <v>65</v>
      </c>
      <c r="B32" s="20">
        <f>-10.402+0.703-0.188+2.896+16.062-0.571+1.309-0.062-C32</f>
        <v>11.646000000000001</v>
      </c>
      <c r="C32" s="20">
        <f>-19.362+1.147-0.096+0.036+11.149+1.027+0.38+3.82</f>
        <v>-1.8989999999999996</v>
      </c>
      <c r="D32" s="20">
        <f>1.388-E32-F32-G32</f>
        <v>15.795</v>
      </c>
      <c r="E32" s="20">
        <f>6.941+3.374+0.427+4.657-11.258+0.188-0.428-18.046-12.257-2.707-0.726-0.139+14.077+0.029-1.711+3.172-F32-G32</f>
        <v>6.3360000000000056</v>
      </c>
      <c r="F32" s="20">
        <f>2.714-1.56-2.519-6.709-4.415-12.495+4.888-12.257-2.707-0.726-0.52+14.077-1.711+3.172+0.025-G32</f>
        <v>-6.2070000000000078</v>
      </c>
      <c r="G32" s="20">
        <f>-11.905+0.707-0.934+1.978+6.4+0.15-3.172-7.76</f>
        <v>-14.535999999999998</v>
      </c>
      <c r="H32" s="20">
        <f>7.763-I32-J32-K32</f>
        <v>-1.2740000000000045</v>
      </c>
      <c r="I32" s="20">
        <f>-9.386-3.252+1.864+0.696+14.323+0.69+0.969+3.133-J32-K32</f>
        <v>0.69900000000000517</v>
      </c>
      <c r="J32" s="20">
        <f>-13.374-2.57+1.689-2.232+13.534+0.611-0.974+11.654-K32</f>
        <v>-9.0619857875579584</v>
      </c>
      <c r="K32" s="20">
        <v>17.399985787557956</v>
      </c>
      <c r="L32" s="20">
        <v>16.005715607557846</v>
      </c>
      <c r="M32" s="20">
        <v>21.82570113755764</v>
      </c>
      <c r="N32" s="20">
        <v>15.374569027557932</v>
      </c>
      <c r="O32" s="20">
        <v>18.27268608755768</v>
      </c>
    </row>
    <row r="33" spans="1:21" s="33" customFormat="1">
      <c r="A33" s="20" t="s">
        <v>66</v>
      </c>
      <c r="B33" s="20">
        <v>0</v>
      </c>
      <c r="C33" s="20">
        <v>0</v>
      </c>
      <c r="D33" s="20">
        <v>0</v>
      </c>
      <c r="E33" s="20">
        <v>0</v>
      </c>
      <c r="F33" s="20">
        <v>0</v>
      </c>
      <c r="G33" s="20">
        <v>0</v>
      </c>
      <c r="H33" s="20">
        <v>0</v>
      </c>
      <c r="I33" s="20">
        <v>0</v>
      </c>
      <c r="J33" s="20">
        <v>0</v>
      </c>
      <c r="K33" s="20">
        <v>0</v>
      </c>
      <c r="L33" s="20">
        <v>0</v>
      </c>
      <c r="M33" s="20">
        <v>0</v>
      </c>
      <c r="N33" s="20">
        <v>0</v>
      </c>
      <c r="O33" s="20">
        <v>0</v>
      </c>
    </row>
    <row r="34" spans="1:21"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S34" s="27"/>
    </row>
    <row r="35" spans="1:21" s="27" customFormat="1">
      <c r="A35" s="27" t="s">
        <v>67</v>
      </c>
      <c r="B35" s="27">
        <f>23.75-C35</f>
        <v>16.707999999999998</v>
      </c>
      <c r="C35" s="27">
        <f>7.042</f>
        <v>7.0419999999999998</v>
      </c>
      <c r="D35" s="27">
        <f>7.632+8.019-E35-F35-G35</f>
        <v>19.808</v>
      </c>
      <c r="E35" s="27">
        <f>8.019-12.176-F35-G35</f>
        <v>4.2479999999999993</v>
      </c>
      <c r="F35" s="27">
        <f>-16.424+8.019-G35</f>
        <v>-4.8729999999999993</v>
      </c>
      <c r="G35" s="27">
        <v>-3.532</v>
      </c>
      <c r="H35" s="27">
        <f>47.427-I35-J35-K35</f>
        <v>11.679999999999998</v>
      </c>
      <c r="I35" s="27">
        <f>35.747-J35-K35</f>
        <v>6.4109999999999996</v>
      </c>
      <c r="J35" s="27">
        <f>29.336-K35</f>
        <v>19.314</v>
      </c>
      <c r="K35" s="27">
        <v>10.022</v>
      </c>
      <c r="L35" s="27">
        <v>0</v>
      </c>
      <c r="M35" s="27">
        <v>0</v>
      </c>
      <c r="N35" s="27">
        <v>0</v>
      </c>
      <c r="O35" s="27">
        <v>0</v>
      </c>
    </row>
    <row r="36" spans="1:21" s="33" customFormat="1">
      <c r="A36" s="20" t="s">
        <v>68</v>
      </c>
      <c r="B36" s="29">
        <f>-2.472-C36</f>
        <v>-1.5270000000000001</v>
      </c>
      <c r="C36" s="29">
        <v>-0.94499999999999995</v>
      </c>
      <c r="D36" s="29">
        <f>-2.622-1.369-E36-F36-G36</f>
        <v>-1.01</v>
      </c>
      <c r="E36" s="29">
        <f>-1.612-1.369-F36-G36</f>
        <v>-1.2749999999999997</v>
      </c>
      <c r="F36" s="29">
        <f>-0.337-1.369-G36</f>
        <v>-0.67900000000000005</v>
      </c>
      <c r="G36" s="29">
        <v>-1.0269999999999999</v>
      </c>
      <c r="H36" s="29">
        <f>-5.092-I36-J36-K36</f>
        <v>-1.1219999999999994</v>
      </c>
      <c r="I36" s="29">
        <f>-3.97-J36-K36</f>
        <v>-1.387</v>
      </c>
      <c r="J36" s="29">
        <f>-2.583-K36</f>
        <v>-1.4126071900000001</v>
      </c>
      <c r="K36" s="29">
        <f>((876.62504+293.76777)/1000)*-1</f>
        <v>-1.1703928100000001</v>
      </c>
      <c r="L36" s="29">
        <f>((427.605+379.8735)/1000)*-1</f>
        <v>-0.80747849999999999</v>
      </c>
      <c r="M36" s="29">
        <f>((890.4346+368.97421)/1000)*-1</f>
        <v>-1.25940881</v>
      </c>
      <c r="N36" s="29">
        <f>((321.954+649.1709)/1000)*-1</f>
        <v>-0.97112490000000007</v>
      </c>
      <c r="O36" s="29">
        <f>((391.36+324.03801)/1000)*-1</f>
        <v>-0.71539801000000003</v>
      </c>
    </row>
    <row r="37" spans="1:21" s="27" customFormat="1">
      <c r="A37" s="27" t="s">
        <v>69</v>
      </c>
      <c r="B37" s="27">
        <f t="shared" ref="B37:K37" si="10">B35+B36</f>
        <v>15.180999999999997</v>
      </c>
      <c r="C37" s="27">
        <f t="shared" si="10"/>
        <v>6.0969999999999995</v>
      </c>
      <c r="D37" s="27">
        <f t="shared" si="10"/>
        <v>18.797999999999998</v>
      </c>
      <c r="E37" s="27">
        <f t="shared" si="10"/>
        <v>2.9729999999999999</v>
      </c>
      <c r="F37" s="27">
        <f t="shared" si="10"/>
        <v>-5.5519999999999996</v>
      </c>
      <c r="G37" s="27">
        <f t="shared" si="10"/>
        <v>-4.5590000000000002</v>
      </c>
      <c r="H37" s="27">
        <f t="shared" si="10"/>
        <v>10.557999999999998</v>
      </c>
      <c r="I37" s="27">
        <f t="shared" si="10"/>
        <v>5.0239999999999991</v>
      </c>
      <c r="J37" s="27">
        <f t="shared" si="10"/>
        <v>17.901392810000001</v>
      </c>
      <c r="K37" s="27">
        <f t="shared" si="10"/>
        <v>8.8516071899999993</v>
      </c>
    </row>
    <row r="38" spans="1:21">
      <c r="R38" s="33"/>
      <c r="S38" s="33"/>
      <c r="U38" s="33"/>
    </row>
    <row r="39" spans="1:21" s="35" customFormat="1">
      <c r="A39" s="34" t="s">
        <v>70</v>
      </c>
      <c r="B39" s="20">
        <v>0</v>
      </c>
      <c r="C39" s="20">
        <v>9.4429999999999996</v>
      </c>
      <c r="D39" s="20">
        <v>0</v>
      </c>
      <c r="E39" s="20">
        <v>0</v>
      </c>
      <c r="F39" s="20">
        <v>0</v>
      </c>
      <c r="G39" s="20">
        <v>0</v>
      </c>
      <c r="H39" s="20">
        <v>0</v>
      </c>
      <c r="I39" s="20"/>
      <c r="J39" s="20"/>
      <c r="K39" s="20"/>
      <c r="L39" s="20"/>
      <c r="M39" s="20"/>
      <c r="N39" s="20"/>
      <c r="O39" s="20"/>
      <c r="P39" s="89"/>
      <c r="Q39" s="33"/>
    </row>
    <row r="40" spans="1:21" s="35" customFormat="1">
      <c r="A40" s="34" t="s">
        <v>71</v>
      </c>
      <c r="B40" s="20">
        <f>B41-110-B39</f>
        <v>366.3</v>
      </c>
      <c r="C40" s="20">
        <f>C41-110-C39</f>
        <v>367.2</v>
      </c>
      <c r="D40" s="20">
        <v>368.15</v>
      </c>
      <c r="E40" s="20">
        <v>360</v>
      </c>
      <c r="F40" s="20">
        <v>360</v>
      </c>
      <c r="G40" s="20">
        <v>360</v>
      </c>
      <c r="H40" s="20">
        <v>360</v>
      </c>
      <c r="I40" s="20"/>
      <c r="J40" s="20"/>
      <c r="K40" s="20"/>
      <c r="L40" s="20"/>
      <c r="M40" s="20"/>
      <c r="N40" s="20"/>
      <c r="O40" s="20"/>
      <c r="Q40" s="33"/>
    </row>
    <row r="41" spans="1:21" s="35" customFormat="1">
      <c r="A41" s="34" t="s">
        <v>72</v>
      </c>
      <c r="B41" s="20">
        <f>476.3</f>
        <v>476.3</v>
      </c>
      <c r="C41" s="20">
        <f>477.2+9.443</f>
        <v>486.64299999999997</v>
      </c>
      <c r="D41" s="20">
        <f>D39+D40+110</f>
        <v>478.15</v>
      </c>
      <c r="E41" s="20">
        <f>E39+E40+120</f>
        <v>480</v>
      </c>
      <c r="F41" s="20">
        <f>F39+F40+120</f>
        <v>480</v>
      </c>
      <c r="G41" s="20">
        <f>G39+G40+120</f>
        <v>480</v>
      </c>
      <c r="H41" s="20">
        <f>H39+H40+120</f>
        <v>480</v>
      </c>
      <c r="I41" s="20"/>
      <c r="J41" s="20"/>
      <c r="K41" s="20"/>
      <c r="L41" s="20"/>
      <c r="M41" s="20"/>
      <c r="N41" s="20"/>
      <c r="O41" s="20"/>
      <c r="Q41" s="33"/>
    </row>
    <row r="42" spans="1:21" s="35" customFormat="1">
      <c r="A42" s="34" t="s">
        <v>73</v>
      </c>
      <c r="B42" s="36">
        <f>C42</f>
        <v>182</v>
      </c>
      <c r="C42" s="36">
        <f>D42</f>
        <v>182</v>
      </c>
      <c r="D42" s="36">
        <f>E42</f>
        <v>182</v>
      </c>
      <c r="E42" s="36">
        <f>F42</f>
        <v>182</v>
      </c>
      <c r="F42" s="36">
        <v>182</v>
      </c>
      <c r="G42" s="36">
        <v>182</v>
      </c>
      <c r="H42" s="36">
        <v>182</v>
      </c>
      <c r="I42" s="36"/>
      <c r="J42" s="36"/>
      <c r="K42" s="36"/>
      <c r="L42" s="36"/>
      <c r="M42" s="36"/>
      <c r="N42" s="36"/>
      <c r="O42" s="36"/>
    </row>
    <row r="43" spans="1:21">
      <c r="B43" s="35"/>
      <c r="C43" s="35"/>
      <c r="D43" s="35"/>
      <c r="E43" s="35"/>
      <c r="F43" s="35"/>
      <c r="G43" s="35"/>
      <c r="H43" s="35"/>
      <c r="I43" s="35"/>
      <c r="J43" s="35"/>
    </row>
    <row r="44" spans="1:21">
      <c r="A44" s="19" t="s">
        <v>74</v>
      </c>
      <c r="B44" s="28">
        <v>4.8689999999999998</v>
      </c>
      <c r="C44" s="28">
        <v>0</v>
      </c>
      <c r="D44" s="28">
        <v>4.0839999999999996</v>
      </c>
      <c r="E44" s="28">
        <v>4.7960000000000003</v>
      </c>
      <c r="F44" s="28">
        <v>3.831</v>
      </c>
      <c r="G44" s="28">
        <v>0</v>
      </c>
      <c r="H44" s="28">
        <v>40.555</v>
      </c>
      <c r="I44" s="28"/>
      <c r="J44" s="28"/>
      <c r="K44" s="28"/>
      <c r="L44" s="28"/>
      <c r="M44" s="57"/>
      <c r="N44" s="57"/>
      <c r="O44" s="57"/>
    </row>
    <row r="46" spans="1:21">
      <c r="A46" s="14" t="s">
        <v>75</v>
      </c>
      <c r="B46" s="58">
        <f t="shared" ref="B46:G46" si="11">B12+C12+D12+E12</f>
        <v>462.85300000000001</v>
      </c>
      <c r="C46" s="58">
        <f t="shared" si="11"/>
        <v>464.66699999999997</v>
      </c>
      <c r="D46" s="58">
        <f t="shared" si="11"/>
        <v>475.49099999999999</v>
      </c>
      <c r="E46" s="58">
        <f t="shared" si="11"/>
        <v>489.61700711999998</v>
      </c>
      <c r="F46" s="58">
        <f t="shared" si="11"/>
        <v>492.74000711999997</v>
      </c>
      <c r="G46" s="58">
        <f t="shared" si="11"/>
        <v>485.35700711999993</v>
      </c>
      <c r="H46" s="51">
        <v>487.3</v>
      </c>
      <c r="I46" s="33">
        <f>SUM(I12:L12)</f>
        <v>456.17591355000002</v>
      </c>
      <c r="J46" s="33">
        <f>SUM(J12:M12)</f>
        <v>444.30549988999996</v>
      </c>
      <c r="K46" s="33">
        <f>SUM(K12:N12)</f>
        <v>429.55858533999992</v>
      </c>
      <c r="L46" s="33">
        <f>SUM(L12:O12)</f>
        <v>415.42472206999997</v>
      </c>
    </row>
    <row r="47" spans="1:21">
      <c r="A47" s="14" t="s">
        <v>76</v>
      </c>
      <c r="B47" s="58">
        <f t="shared" ref="B47:G47" si="12">B27</f>
        <v>72.314999999999998</v>
      </c>
      <c r="C47" s="58">
        <f t="shared" si="12"/>
        <v>71.405000000000001</v>
      </c>
      <c r="D47" s="58">
        <f t="shared" si="12"/>
        <v>71.683999999999997</v>
      </c>
      <c r="E47" s="58">
        <f t="shared" si="12"/>
        <v>78.804594458986969</v>
      </c>
      <c r="F47" s="58">
        <f t="shared" si="12"/>
        <v>80.663594458986964</v>
      </c>
      <c r="G47" s="58">
        <f t="shared" si="12"/>
        <v>80.763594458986958</v>
      </c>
      <c r="H47" s="51">
        <v>79.5</v>
      </c>
      <c r="I47" s="33">
        <f>+I27</f>
        <v>73.116716640662943</v>
      </c>
      <c r="J47" s="33">
        <f>+J27</f>
        <v>71.283357320753282</v>
      </c>
      <c r="K47" s="33">
        <f>+K27</f>
        <v>68.89282027017164</v>
      </c>
      <c r="L47" s="33">
        <f>+L27</f>
        <v>67.100898325118592</v>
      </c>
    </row>
    <row r="48" spans="1:21">
      <c r="A48" s="14" t="s">
        <v>77</v>
      </c>
      <c r="B48" s="58">
        <f>SUM(B37:E37)</f>
        <v>43.048999999999992</v>
      </c>
      <c r="C48" s="58">
        <f>SUM(C37:F37)</f>
        <v>22.315999999999995</v>
      </c>
      <c r="D48" s="58">
        <f>SUM(D37:G37)</f>
        <v>11.659999999999997</v>
      </c>
      <c r="E48" s="58">
        <f t="shared" ref="E48:H48" si="13">SUM(E37:H37)</f>
        <v>3.4199999999999982</v>
      </c>
      <c r="F48" s="58">
        <f t="shared" si="13"/>
        <v>5.4709999999999965</v>
      </c>
      <c r="G48" s="58">
        <f t="shared" si="13"/>
        <v>28.924392809999997</v>
      </c>
      <c r="H48" s="58">
        <f t="shared" si="13"/>
        <v>42.334999999999994</v>
      </c>
      <c r="I48" s="33"/>
      <c r="J48" s="33"/>
      <c r="K48" s="33"/>
      <c r="L48" s="33"/>
    </row>
    <row r="49" spans="1:15">
      <c r="B49" s="79"/>
      <c r="C49" s="79"/>
      <c r="D49" s="79"/>
      <c r="E49" s="79"/>
      <c r="F49" s="79"/>
      <c r="G49" s="79"/>
    </row>
    <row r="50" spans="1:15" s="37" customFormat="1">
      <c r="A50" s="37" t="s">
        <v>78</v>
      </c>
      <c r="B50" s="37">
        <f t="shared" ref="B50" si="14">+SUM(B39:B40)/B47</f>
        <v>5.0653391412570006</v>
      </c>
      <c r="C50" s="37">
        <f t="shared" ref="C50:H50" si="15">+SUM(C39:C40)/C47</f>
        <v>5.2747426650794758</v>
      </c>
      <c r="D50" s="37">
        <f t="shared" si="15"/>
        <v>5.1357346130238266</v>
      </c>
      <c r="E50" s="37">
        <f t="shared" si="15"/>
        <v>4.5682615648426212</v>
      </c>
      <c r="F50" s="37">
        <f t="shared" si="15"/>
        <v>4.4629798909226688</v>
      </c>
      <c r="G50" s="37">
        <f t="shared" si="15"/>
        <v>4.4574539111531708</v>
      </c>
      <c r="H50" s="37">
        <f t="shared" si="15"/>
        <v>4.5283018867924527</v>
      </c>
    </row>
    <row r="51" spans="1:15" s="37" customFormat="1">
      <c r="A51" s="37" t="s">
        <v>79</v>
      </c>
      <c r="B51" s="37">
        <f t="shared" ref="B51" si="16">+B41/B47</f>
        <v>6.5864620064993433</v>
      </c>
      <c r="C51" s="37">
        <f t="shared" ref="C51:H51" si="17">+C41/C47</f>
        <v>6.8152510328408367</v>
      </c>
      <c r="D51" s="37">
        <f t="shared" si="17"/>
        <v>6.6702471960270078</v>
      </c>
      <c r="E51" s="37">
        <f t="shared" si="17"/>
        <v>6.0910154197901623</v>
      </c>
      <c r="F51" s="37">
        <f t="shared" si="17"/>
        <v>5.9506398545635575</v>
      </c>
      <c r="G51" s="37">
        <f t="shared" si="17"/>
        <v>5.9432718815375614</v>
      </c>
      <c r="H51" s="37">
        <f t="shared" si="17"/>
        <v>6.0377358490566042</v>
      </c>
    </row>
    <row r="52" spans="1:15" s="37" customFormat="1">
      <c r="A52" s="37" t="s">
        <v>80</v>
      </c>
      <c r="B52" s="37">
        <f t="shared" ref="B52" si="18">+(B41-B44)/B47</f>
        <v>6.519131577127844</v>
      </c>
      <c r="C52" s="37">
        <f t="shared" ref="C52:H52" si="19">+(C41-C44)/C47</f>
        <v>6.8152510328408367</v>
      </c>
      <c r="D52" s="37">
        <f t="shared" si="19"/>
        <v>6.6132749288544161</v>
      </c>
      <c r="E52" s="37">
        <f t="shared" si="19"/>
        <v>6.0301560240540919</v>
      </c>
      <c r="F52" s="37">
        <f t="shared" si="19"/>
        <v>5.9031463102243222</v>
      </c>
      <c r="G52" s="37">
        <f t="shared" si="19"/>
        <v>5.9432718815375614</v>
      </c>
      <c r="H52" s="37">
        <f t="shared" si="19"/>
        <v>5.527610062893082</v>
      </c>
    </row>
    <row r="53" spans="1:15" s="38" customFormat="1">
      <c r="A53" s="38" t="s">
        <v>81</v>
      </c>
      <c r="B53" s="38">
        <f t="shared" ref="B53" si="20">+B48/B41</f>
        <v>9.0382112114213708E-2</v>
      </c>
      <c r="C53" s="38">
        <f t="shared" ref="C53:H53" si="21">+C48/C41</f>
        <v>4.5857024553933777E-2</v>
      </c>
      <c r="D53" s="38">
        <f t="shared" si="21"/>
        <v>2.4385653037749654E-2</v>
      </c>
      <c r="E53" s="38">
        <f t="shared" si="21"/>
        <v>7.1249999999999959E-3</v>
      </c>
      <c r="F53" s="38">
        <f t="shared" si="21"/>
        <v>1.1397916666666659E-2</v>
      </c>
      <c r="G53" s="38">
        <f t="shared" si="21"/>
        <v>6.0259151687499991E-2</v>
      </c>
      <c r="H53" s="38">
        <f t="shared" si="21"/>
        <v>8.8197916666666654E-2</v>
      </c>
    </row>
    <row r="54" spans="1:15" s="38" customFormat="1">
      <c r="A54" s="39" t="s">
        <v>82</v>
      </c>
      <c r="B54" s="40"/>
      <c r="C54" s="40"/>
      <c r="D54" s="40"/>
      <c r="E54" s="40"/>
      <c r="F54" s="40"/>
      <c r="G54" s="40"/>
      <c r="H54" s="40"/>
      <c r="I54" s="40"/>
      <c r="J54" s="40"/>
      <c r="K54" s="40"/>
      <c r="L54" s="40"/>
      <c r="M54" s="39"/>
      <c r="N54" s="39"/>
      <c r="O54" s="39"/>
    </row>
    <row r="55" spans="1:15" s="38" customFormat="1">
      <c r="A55" s="38" t="s">
        <v>83</v>
      </c>
      <c r="B55" s="41">
        <f>IF(B42=0,IF(B54="","","*"&amp;TEXT(B54,"0.0x")),(B41+B42-B44)/B47)</f>
        <v>9.0358984996197194</v>
      </c>
      <c r="C55" s="41">
        <f>IF(C42=0,IF(C54="","","*"&amp;TEXT(C54,"0.0x")),(C41+C42-C44)/C47)</f>
        <v>9.3640921504096362</v>
      </c>
      <c r="D55" s="41">
        <f>IF(D42=0,IF(D54="","","*"&amp;TEXT(D54,"0.0x")),(D41+D42-D44)/D47)</f>
        <v>9.1521957480051341</v>
      </c>
      <c r="E55" s="41">
        <f>IF(E42=0,IF(E54="","","*"&amp;TEXT(E54,"0.0x")),(E41+E42-E44)/E47)</f>
        <v>8.3396660373911953</v>
      </c>
      <c r="F55" s="41">
        <f>IF(F42=0,IF(F54="","","*"&amp;TEXT(F54,"0.0x")),(F41+F42-F44)/F47)</f>
        <v>8.1594305884130041</v>
      </c>
      <c r="G55" s="41">
        <f t="shared" ref="G55:L55" si="22">IF(G42=0,IF(G54="","","*"&amp;TEXT(G54,"0.0x")),(G41+G42-G44)/G47)</f>
        <v>8.196762469953887</v>
      </c>
      <c r="H55" s="41">
        <f t="shared" si="22"/>
        <v>7.8169182389937113</v>
      </c>
      <c r="I55" s="41" t="str">
        <f t="shared" si="22"/>
        <v/>
      </c>
      <c r="J55" s="41" t="str">
        <f t="shared" si="22"/>
        <v/>
      </c>
      <c r="K55" s="41" t="str">
        <f t="shared" si="22"/>
        <v/>
      </c>
      <c r="L55" s="41" t="str">
        <f t="shared" si="22"/>
        <v/>
      </c>
      <c r="M55" s="41" t="str">
        <f>IF(M42=0,IF(M54="","",CONCATENATE("* ",M54,"x")),(M41+M42-M44)/M47)</f>
        <v/>
      </c>
      <c r="N55" s="41" t="str">
        <f>IF(N42=0,IF(N54="","",CONCATENATE("* ",N54,"x")),(N41+N42-N44)/N47)</f>
        <v/>
      </c>
      <c r="O55" s="41" t="str">
        <f>IF(O42=0,IF(O54="","",CONCATENATE("* ",O54,"x")),(O41+O42-O44)/O47)</f>
        <v/>
      </c>
    </row>
    <row r="56" spans="1:15">
      <c r="L56" s="42"/>
    </row>
    <row r="57" spans="1:15" ht="80.25" customHeight="1">
      <c r="A57" s="43" t="s">
        <v>84</v>
      </c>
      <c r="B57" s="44" t="s">
        <v>289</v>
      </c>
      <c r="C57" s="44" t="s">
        <v>289</v>
      </c>
      <c r="D57" s="44" t="s">
        <v>289</v>
      </c>
      <c r="E57" s="44" t="s">
        <v>289</v>
      </c>
      <c r="F57" s="44"/>
      <c r="G57" s="44"/>
      <c r="H57" s="44" t="s">
        <v>90</v>
      </c>
      <c r="I57" s="44"/>
      <c r="J57" s="44"/>
      <c r="K57" s="44"/>
      <c r="L57" s="44"/>
      <c r="M57" s="44"/>
      <c r="N57" s="44"/>
      <c r="O57" s="44"/>
    </row>
    <row r="58" spans="1:15">
      <c r="A58" s="45"/>
      <c r="B58" s="42"/>
      <c r="C58" s="42"/>
      <c r="D58" s="42"/>
      <c r="E58" s="42"/>
      <c r="F58" s="42"/>
      <c r="G58" s="42"/>
      <c r="H58" s="42"/>
    </row>
    <row r="59" spans="1:15">
      <c r="A59" s="45"/>
    </row>
  </sheetData>
  <pageMargins left="0.7" right="0.7" top="0.75" bottom="0.75" header="0.3" footer="0.3"/>
  <pageSetup orientation="portrait" r:id="rId1"/>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2:AC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24" width="10.6640625" style="14" customWidth="1"/>
    <col min="25" max="16384" width="9.109375" style="14"/>
  </cols>
  <sheetData>
    <row r="2" spans="1:29">
      <c r="A2" s="13" t="s">
        <v>44</v>
      </c>
      <c r="B2" s="14" t="s">
        <v>30</v>
      </c>
    </row>
    <row r="3" spans="1:29" s="16" customFormat="1">
      <c r="A3" s="15" t="s">
        <v>45</v>
      </c>
      <c r="B3" s="16" t="s">
        <v>101</v>
      </c>
    </row>
    <row r="4" spans="1:29">
      <c r="A4" s="13" t="s">
        <v>2</v>
      </c>
      <c r="B4" s="14" t="s">
        <v>493</v>
      </c>
    </row>
    <row r="5" spans="1:29">
      <c r="A5" s="13" t="s">
        <v>46</v>
      </c>
    </row>
    <row r="6" spans="1:29">
      <c r="A6" s="13" t="s">
        <v>47</v>
      </c>
      <c r="B6" s="14">
        <v>3</v>
      </c>
    </row>
    <row r="7" spans="1:29">
      <c r="A7" s="13" t="s">
        <v>48</v>
      </c>
      <c r="B7" s="14" t="s">
        <v>240</v>
      </c>
    </row>
    <row r="8" spans="1:29">
      <c r="A8" s="13" t="s">
        <v>347</v>
      </c>
      <c r="B8" s="14" t="s">
        <v>382</v>
      </c>
    </row>
    <row r="9" spans="1:29">
      <c r="A9" s="17"/>
    </row>
    <row r="10" spans="1:29">
      <c r="A10" s="17" t="s">
        <v>49</v>
      </c>
      <c r="B10" s="18">
        <v>44286</v>
      </c>
      <c r="C10" s="18">
        <v>44196</v>
      </c>
      <c r="D10" s="18">
        <v>44104</v>
      </c>
      <c r="E10" s="18">
        <v>44012</v>
      </c>
      <c r="F10" s="18">
        <v>43921</v>
      </c>
      <c r="G10" s="18">
        <v>43830</v>
      </c>
      <c r="H10" s="18">
        <v>43738</v>
      </c>
      <c r="I10" s="18">
        <v>43646</v>
      </c>
      <c r="J10" s="18">
        <v>43555</v>
      </c>
      <c r="K10" s="18">
        <v>43465</v>
      </c>
      <c r="L10" s="18">
        <v>43373</v>
      </c>
      <c r="M10" s="18">
        <v>43281</v>
      </c>
      <c r="N10" s="18">
        <v>43190</v>
      </c>
      <c r="O10" s="18">
        <v>43100</v>
      </c>
      <c r="P10" s="18">
        <v>43008</v>
      </c>
      <c r="Q10" s="18">
        <v>42916</v>
      </c>
      <c r="R10" s="18">
        <v>42825</v>
      </c>
      <c r="S10" s="18">
        <v>42735</v>
      </c>
      <c r="T10" s="18">
        <v>42643</v>
      </c>
      <c r="U10" s="18">
        <v>42551</v>
      </c>
      <c r="V10" s="18">
        <v>42460</v>
      </c>
      <c r="W10" s="18">
        <v>42369</v>
      </c>
      <c r="X10" s="18">
        <v>42277</v>
      </c>
    </row>
    <row r="12" spans="1:29">
      <c r="A12" s="19" t="s">
        <v>50</v>
      </c>
      <c r="B12" s="20">
        <v>94.403999999999996</v>
      </c>
      <c r="C12" s="20">
        <f>325.521-D12-E12-F12</f>
        <v>89.714000000000013</v>
      </c>
      <c r="D12" s="20">
        <v>84.227999999999994</v>
      </c>
      <c r="E12" s="20">
        <v>66.28</v>
      </c>
      <c r="F12" s="20">
        <v>85.298999999999992</v>
      </c>
      <c r="G12" s="20">
        <f>319.177-H12-I12-J12</f>
        <v>88.776000000000025</v>
      </c>
      <c r="H12" s="20">
        <v>76.328000000000003</v>
      </c>
      <c r="I12" s="20">
        <v>72.474999999999994</v>
      </c>
      <c r="J12" s="20">
        <v>81.597999999999999</v>
      </c>
      <c r="K12" s="20">
        <v>79.891000000000005</v>
      </c>
      <c r="L12" s="20">
        <v>91.203000000000003</v>
      </c>
      <c r="M12" s="20">
        <v>73.317000000000007</v>
      </c>
      <c r="N12" s="20">
        <v>97.986000000000004</v>
      </c>
      <c r="O12" s="20">
        <f>395.007-R12-Q12-P12</f>
        <v>82.597999999999999</v>
      </c>
      <c r="P12" s="20">
        <v>77.263999999999996</v>
      </c>
      <c r="Q12" s="20">
        <v>95.806000000000012</v>
      </c>
      <c r="R12" s="20">
        <v>139.339</v>
      </c>
      <c r="S12" s="20">
        <v>98.179000000000002</v>
      </c>
      <c r="T12" s="20">
        <v>97.072999999999993</v>
      </c>
      <c r="U12" s="20">
        <v>85.251999999999995</v>
      </c>
      <c r="V12" s="20">
        <v>96.188000000000002</v>
      </c>
      <c r="W12" s="20">
        <v>93.164999999999992</v>
      </c>
      <c r="X12" s="20">
        <v>95.942999999999998</v>
      </c>
    </row>
    <row r="13" spans="1:29" s="21" customFormat="1">
      <c r="A13" s="21" t="s">
        <v>51</v>
      </c>
      <c r="B13" s="21">
        <f t="shared" ref="B13:T13" si="0">+B12/F12-1</f>
        <v>0.10674216579326834</v>
      </c>
      <c r="C13" s="21">
        <f t="shared" si="0"/>
        <v>1.0565918716770151E-2</v>
      </c>
      <c r="D13" s="21">
        <f t="shared" si="0"/>
        <v>0.10350068127030698</v>
      </c>
      <c r="E13" s="21">
        <f t="shared" si="0"/>
        <v>-8.5477750948602882E-2</v>
      </c>
      <c r="F13" s="21">
        <f t="shared" si="0"/>
        <v>4.5356503835878303E-2</v>
      </c>
      <c r="G13" s="21">
        <f t="shared" si="0"/>
        <v>0.11121402911466904</v>
      </c>
      <c r="H13" s="21">
        <f t="shared" si="0"/>
        <v>-0.16309770511934918</v>
      </c>
      <c r="I13" s="21">
        <f t="shared" si="0"/>
        <v>-1.1484376065578394E-2</v>
      </c>
      <c r="J13" s="21">
        <f t="shared" si="0"/>
        <v>-0.1672483824219787</v>
      </c>
      <c r="K13" s="21">
        <f t="shared" si="0"/>
        <v>-3.2773190634155736E-2</v>
      </c>
      <c r="L13" s="21">
        <f t="shared" si="0"/>
        <v>0.18040743425139794</v>
      </c>
      <c r="M13" s="21">
        <f t="shared" si="0"/>
        <v>-0.23473477652756614</v>
      </c>
      <c r="N13" s="21">
        <f t="shared" si="0"/>
        <v>-0.29677979603700322</v>
      </c>
      <c r="O13" s="21">
        <f t="shared" si="0"/>
        <v>-0.15869992564601398</v>
      </c>
      <c r="P13" s="21">
        <f t="shared" si="0"/>
        <v>-0.20406292171870655</v>
      </c>
      <c r="Q13" s="21">
        <f t="shared" si="0"/>
        <v>0.12379768216581444</v>
      </c>
      <c r="R13" s="21">
        <f t="shared" si="0"/>
        <v>0.44861105335384877</v>
      </c>
      <c r="S13" s="21">
        <f t="shared" si="0"/>
        <v>5.3818494069661549E-2</v>
      </c>
      <c r="T13" s="21">
        <f t="shared" si="0"/>
        <v>1.1777826417768811E-2</v>
      </c>
    </row>
    <row r="14" spans="1:29"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t="s">
        <v>3</v>
      </c>
      <c r="P14" s="23" t="s">
        <v>3</v>
      </c>
      <c r="Q14" s="23" t="s">
        <v>3</v>
      </c>
      <c r="R14" s="23" t="s">
        <v>3</v>
      </c>
      <c r="S14" s="23" t="s">
        <v>3</v>
      </c>
      <c r="T14" s="23" t="s">
        <v>3</v>
      </c>
      <c r="U14" s="22"/>
      <c r="V14" s="22"/>
      <c r="W14" s="22"/>
      <c r="X14" s="22"/>
    </row>
    <row r="16" spans="1:29" s="17" customFormat="1">
      <c r="A16" s="25" t="s">
        <v>53</v>
      </c>
      <c r="B16" s="26">
        <v>32.475999999999999</v>
      </c>
      <c r="C16" s="26">
        <v>23.923999999999999</v>
      </c>
      <c r="D16" s="26">
        <v>53.021000000000001</v>
      </c>
      <c r="E16" s="26">
        <v>35.695</v>
      </c>
      <c r="F16" s="26">
        <v>20.843</v>
      </c>
      <c r="G16" s="26">
        <v>12.227</v>
      </c>
      <c r="H16" s="26">
        <v>41.585999999999999</v>
      </c>
      <c r="I16" s="26">
        <v>25.225000000000001</v>
      </c>
      <c r="J16" s="26">
        <v>16.033000000000001</v>
      </c>
      <c r="K16" s="26">
        <f>99.784-L16-M16-N16</f>
        <v>10.830000000000002</v>
      </c>
      <c r="L16" s="26">
        <v>42.28</v>
      </c>
      <c r="M16" s="26">
        <v>23.931999999999999</v>
      </c>
      <c r="N16" s="26">
        <v>22.742000000000001</v>
      </c>
      <c r="O16" s="26">
        <f>144.823-P16-Q16-R16</f>
        <v>23.365000000000009</v>
      </c>
      <c r="P16" s="26">
        <v>36.167000000000002</v>
      </c>
      <c r="Q16" s="26">
        <v>35.874000000000002</v>
      </c>
      <c r="R16" s="26">
        <v>49.417000000000002</v>
      </c>
      <c r="S16" s="26">
        <v>44.222000000000001</v>
      </c>
      <c r="T16" s="26">
        <v>51.637999999999998</v>
      </c>
      <c r="U16" s="26">
        <v>35.990999999999993</v>
      </c>
      <c r="V16" s="26">
        <v>48.638000000000005</v>
      </c>
      <c r="W16" s="26">
        <v>41.557999999999993</v>
      </c>
      <c r="X16" s="26">
        <v>51.379000000000005</v>
      </c>
      <c r="AC16" s="146"/>
    </row>
    <row r="17" spans="1:24" s="21" customFormat="1">
      <c r="A17" s="21" t="s">
        <v>54</v>
      </c>
      <c r="B17" s="21">
        <f t="shared" ref="B17:C17" si="1">+B16/B12</f>
        <v>0.34401084699800855</v>
      </c>
      <c r="C17" s="21">
        <f t="shared" si="1"/>
        <v>0.26666963907528363</v>
      </c>
      <c r="D17" s="21">
        <f t="shared" ref="D17:E17" si="2">+D16/D12</f>
        <v>0.62949375504582805</v>
      </c>
      <c r="E17" s="21">
        <f t="shared" si="2"/>
        <v>0.53854858177429088</v>
      </c>
      <c r="F17" s="21">
        <f t="shared" ref="F17:G17" si="3">+F16/F12</f>
        <v>0.24435221983845065</v>
      </c>
      <c r="G17" s="21">
        <f t="shared" si="3"/>
        <v>0.1377286654050644</v>
      </c>
      <c r="H17" s="21">
        <f t="shared" ref="H17:I17" si="4">+H16/H12</f>
        <v>0.54483282674772038</v>
      </c>
      <c r="I17" s="21">
        <f t="shared" si="4"/>
        <v>0.34805105208692655</v>
      </c>
      <c r="J17" s="21">
        <f t="shared" ref="J17:K17" si="5">+J16/J12</f>
        <v>0.19648765901125029</v>
      </c>
      <c r="K17" s="21">
        <f t="shared" si="5"/>
        <v>0.13555970009137452</v>
      </c>
      <c r="L17" s="21">
        <f t="shared" ref="L17:X17" si="6">+L16/L12</f>
        <v>0.46358124184511473</v>
      </c>
      <c r="M17" s="21">
        <f t="shared" si="6"/>
        <v>0.32641815677128083</v>
      </c>
      <c r="N17" s="21">
        <f t="shared" si="6"/>
        <v>0.23209438082991449</v>
      </c>
      <c r="O17" s="21">
        <f t="shared" si="6"/>
        <v>0.28287609869488378</v>
      </c>
      <c r="P17" s="21">
        <f t="shared" si="6"/>
        <v>0.46809639676951753</v>
      </c>
      <c r="Q17" s="21">
        <f t="shared" si="6"/>
        <v>0.37444418929920881</v>
      </c>
      <c r="R17" s="21">
        <f t="shared" si="6"/>
        <v>0.35465304042658552</v>
      </c>
      <c r="S17" s="21">
        <f t="shared" si="6"/>
        <v>0.45042218804428646</v>
      </c>
      <c r="T17" s="21">
        <f t="shared" si="6"/>
        <v>0.53195018182192788</v>
      </c>
      <c r="U17" s="21">
        <f t="shared" si="6"/>
        <v>0.42217191385539338</v>
      </c>
      <c r="V17" s="21">
        <f t="shared" si="6"/>
        <v>0.50565559113402925</v>
      </c>
      <c r="W17" s="21">
        <f t="shared" si="6"/>
        <v>0.44606880266194382</v>
      </c>
      <c r="X17" s="21">
        <f t="shared" si="6"/>
        <v>0.53551587921995358</v>
      </c>
    </row>
    <row r="18" spans="1:24" s="24" customFormat="1"/>
    <row r="19" spans="1:24"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row>
    <row r="20" spans="1:24"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row>
    <row r="21" spans="1:24" s="24" customFormat="1">
      <c r="A21" s="19" t="s">
        <v>57</v>
      </c>
      <c r="B21" s="20">
        <f t="shared" ref="B21" si="7">B22-B16-B19-B20</f>
        <v>0.82900000000000063</v>
      </c>
      <c r="C21" s="20">
        <f t="shared" ref="C21:F21" si="8">C22-C16-C19-C20</f>
        <v>8.7419999999999973</v>
      </c>
      <c r="D21" s="20">
        <f t="shared" si="8"/>
        <v>2.7700000000000031</v>
      </c>
      <c r="E21" s="20">
        <f t="shared" si="8"/>
        <v>2.4410000000000025</v>
      </c>
      <c r="F21" s="20">
        <f t="shared" si="8"/>
        <v>3.1709999999999994</v>
      </c>
      <c r="G21" s="20">
        <f t="shared" ref="G21:I21" si="9">G22-G16-G19-G20</f>
        <v>14.227999999999998</v>
      </c>
      <c r="H21" s="20">
        <f t="shared" si="9"/>
        <v>0.67499999999999716</v>
      </c>
      <c r="I21" s="20">
        <f t="shared" si="9"/>
        <v>3.3449999999999989</v>
      </c>
      <c r="J21" s="20">
        <f t="shared" ref="J21:O21" si="10">J22-J16-J19-J20</f>
        <v>2.3189999999999991</v>
      </c>
      <c r="K21" s="20">
        <f t="shared" si="10"/>
        <v>7.122999999999994</v>
      </c>
      <c r="L21" s="20">
        <f t="shared" si="10"/>
        <v>0.25</v>
      </c>
      <c r="M21" s="20">
        <f t="shared" si="10"/>
        <v>9.9820000000000029</v>
      </c>
      <c r="N21" s="20">
        <f t="shared" si="10"/>
        <v>0.58699999999999974</v>
      </c>
      <c r="O21" s="20">
        <f t="shared" si="10"/>
        <v>0.15199999999999392</v>
      </c>
      <c r="P21" s="20">
        <f t="shared" ref="P21:X21" si="11">P22-P16-P19-P20</f>
        <v>-9.0000000000003411E-3</v>
      </c>
      <c r="Q21" s="20">
        <f t="shared" si="11"/>
        <v>3.3260000000000005</v>
      </c>
      <c r="R21" s="20">
        <f t="shared" si="11"/>
        <v>0.78099999999999881</v>
      </c>
      <c r="S21" s="20">
        <f t="shared" si="11"/>
        <v>7.4859999999999971</v>
      </c>
      <c r="T21" s="20">
        <f t="shared" si="11"/>
        <v>0.50200000000000244</v>
      </c>
      <c r="U21" s="20">
        <f t="shared" si="11"/>
        <v>4.8659999999999997</v>
      </c>
      <c r="V21" s="20">
        <f t="shared" si="11"/>
        <v>1.0730000000000004</v>
      </c>
      <c r="W21" s="20">
        <f t="shared" si="11"/>
        <v>9.3029999999999973</v>
      </c>
      <c r="X21" s="20">
        <f t="shared" si="11"/>
        <v>-0.22999999999999687</v>
      </c>
    </row>
    <row r="22" spans="1:24" s="17" customFormat="1">
      <c r="A22" s="17" t="s">
        <v>58</v>
      </c>
      <c r="B22" s="27">
        <v>33.305</v>
      </c>
      <c r="C22" s="27">
        <v>32.665999999999997</v>
      </c>
      <c r="D22" s="27">
        <v>55.791000000000004</v>
      </c>
      <c r="E22" s="27">
        <v>38.136000000000003</v>
      </c>
      <c r="F22" s="27">
        <v>24.013999999999999</v>
      </c>
      <c r="G22" s="27">
        <v>26.454999999999998</v>
      </c>
      <c r="H22" s="27">
        <v>42.260999999999996</v>
      </c>
      <c r="I22" s="27">
        <v>28.57</v>
      </c>
      <c r="J22" s="27">
        <v>18.352</v>
      </c>
      <c r="K22" s="27">
        <f>117.726-L22-M22-N22</f>
        <v>17.952999999999996</v>
      </c>
      <c r="L22" s="27">
        <v>42.53</v>
      </c>
      <c r="M22" s="27">
        <v>33.914000000000001</v>
      </c>
      <c r="N22" s="27">
        <v>23.329000000000001</v>
      </c>
      <c r="O22" s="27">
        <f>149.073-P22-Q22-R22</f>
        <v>23.517000000000003</v>
      </c>
      <c r="P22" s="27">
        <v>36.158000000000001</v>
      </c>
      <c r="Q22" s="27">
        <v>39.200000000000003</v>
      </c>
      <c r="R22" s="27">
        <v>50.198</v>
      </c>
      <c r="S22" s="27">
        <v>51.707999999999998</v>
      </c>
      <c r="T22" s="27">
        <v>52.14</v>
      </c>
      <c r="U22" s="27">
        <v>40.856999999999992</v>
      </c>
      <c r="V22" s="27">
        <v>49.711000000000006</v>
      </c>
      <c r="W22" s="27">
        <v>50.86099999999999</v>
      </c>
      <c r="X22" s="27">
        <v>51.149000000000008</v>
      </c>
    </row>
    <row r="23" spans="1:24" s="17" customFormat="1">
      <c r="B23" s="21"/>
      <c r="C23" s="21"/>
      <c r="D23" s="21"/>
      <c r="E23" s="21"/>
      <c r="F23" s="21"/>
      <c r="G23" s="21"/>
      <c r="H23" s="21"/>
      <c r="I23" s="21"/>
      <c r="J23" s="21"/>
      <c r="K23" s="21"/>
      <c r="L23" s="27"/>
      <c r="M23" s="27"/>
      <c r="N23" s="27"/>
      <c r="O23" s="27"/>
      <c r="P23" s="27"/>
      <c r="Q23" s="27"/>
      <c r="R23" s="27"/>
      <c r="S23" s="27"/>
      <c r="T23" s="27"/>
      <c r="U23" s="27"/>
      <c r="V23" s="27"/>
      <c r="W23" s="27"/>
      <c r="X23" s="27"/>
    </row>
    <row r="24" spans="1:24" s="17" customFormat="1">
      <c r="A24" s="17" t="s">
        <v>59</v>
      </c>
      <c r="B24" s="27">
        <f t="shared" ref="B24:U24" si="12">SUM(B22:E22)</f>
        <v>159.898</v>
      </c>
      <c r="C24" s="27">
        <f t="shared" si="12"/>
        <v>150.607</v>
      </c>
      <c r="D24" s="27">
        <f t="shared" si="12"/>
        <v>144.39600000000002</v>
      </c>
      <c r="E24" s="27">
        <f t="shared" si="12"/>
        <v>130.86599999999999</v>
      </c>
      <c r="F24" s="27">
        <f t="shared" si="12"/>
        <v>121.29999999999998</v>
      </c>
      <c r="G24" s="27">
        <f t="shared" si="12"/>
        <v>115.63800000000001</v>
      </c>
      <c r="H24" s="27">
        <f t="shared" si="12"/>
        <v>107.136</v>
      </c>
      <c r="I24" s="27">
        <f t="shared" si="12"/>
        <v>107.405</v>
      </c>
      <c r="J24" s="27">
        <f t="shared" si="12"/>
        <v>112.749</v>
      </c>
      <c r="K24" s="27">
        <f t="shared" si="12"/>
        <v>117.726</v>
      </c>
      <c r="L24" s="27">
        <f t="shared" si="12"/>
        <v>123.28999999999999</v>
      </c>
      <c r="M24" s="27">
        <f t="shared" si="12"/>
        <v>116.91800000000001</v>
      </c>
      <c r="N24" s="27">
        <f t="shared" si="12"/>
        <v>122.20400000000001</v>
      </c>
      <c r="O24" s="27">
        <f t="shared" si="12"/>
        <v>149.07300000000001</v>
      </c>
      <c r="P24" s="27">
        <f t="shared" si="12"/>
        <v>177.26400000000001</v>
      </c>
      <c r="Q24" s="27">
        <f t="shared" si="12"/>
        <v>193.24599999999998</v>
      </c>
      <c r="R24" s="27">
        <f t="shared" si="12"/>
        <v>194.90299999999999</v>
      </c>
      <c r="S24" s="27">
        <f t="shared" si="12"/>
        <v>194.416</v>
      </c>
      <c r="T24" s="27">
        <f t="shared" si="12"/>
        <v>193.56899999999999</v>
      </c>
      <c r="U24" s="27">
        <f t="shared" si="12"/>
        <v>192.57799999999997</v>
      </c>
      <c r="V24" s="27"/>
      <c r="W24" s="27"/>
      <c r="X24" s="27"/>
    </row>
    <row r="25" spans="1:24" s="24" customFormat="1">
      <c r="A25" s="19" t="s">
        <v>60</v>
      </c>
      <c r="B25" s="28">
        <v>0</v>
      </c>
      <c r="C25" s="28">
        <v>0</v>
      </c>
      <c r="D25" s="28">
        <v>0</v>
      </c>
      <c r="E25" s="28">
        <v>0</v>
      </c>
      <c r="F25" s="28">
        <v>0</v>
      </c>
      <c r="G25" s="28">
        <v>0</v>
      </c>
      <c r="H25" s="28">
        <v>0</v>
      </c>
      <c r="I25" s="28">
        <v>0</v>
      </c>
      <c r="J25" s="28">
        <v>0</v>
      </c>
      <c r="K25" s="28">
        <v>0</v>
      </c>
      <c r="L25" s="28">
        <v>0</v>
      </c>
      <c r="M25" s="28">
        <v>0</v>
      </c>
      <c r="N25" s="28">
        <v>0</v>
      </c>
      <c r="O25" s="28">
        <v>0</v>
      </c>
      <c r="P25" s="28">
        <v>0</v>
      </c>
      <c r="Q25" s="28">
        <v>0</v>
      </c>
      <c r="R25" s="28">
        <v>0</v>
      </c>
      <c r="S25" s="28">
        <v>0</v>
      </c>
      <c r="T25" s="28">
        <v>0</v>
      </c>
      <c r="U25" s="28">
        <v>0</v>
      </c>
      <c r="V25" s="28"/>
      <c r="W25" s="28"/>
      <c r="X25" s="28"/>
    </row>
    <row r="26" spans="1:24" s="24" customFormat="1">
      <c r="A26" s="19" t="s">
        <v>61</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v>0</v>
      </c>
      <c r="S26" s="29">
        <v>0</v>
      </c>
      <c r="T26" s="29">
        <v>0</v>
      </c>
      <c r="U26" s="29">
        <v>0</v>
      </c>
      <c r="V26" s="30"/>
      <c r="W26" s="30"/>
      <c r="X26" s="30"/>
    </row>
    <row r="27" spans="1:24" s="32" customFormat="1">
      <c r="A27" s="17" t="s">
        <v>62</v>
      </c>
      <c r="B27" s="27">
        <f t="shared" ref="B27:C27" si="13">SUM(B24:B26)</f>
        <v>159.898</v>
      </c>
      <c r="C27" s="27">
        <f t="shared" si="13"/>
        <v>150.607</v>
      </c>
      <c r="D27" s="27">
        <f t="shared" ref="D27:E27" si="14">SUM(D24:D26)</f>
        <v>144.39600000000002</v>
      </c>
      <c r="E27" s="27">
        <f t="shared" si="14"/>
        <v>130.86599999999999</v>
      </c>
      <c r="F27" s="27">
        <f t="shared" ref="F27:G27" si="15">SUM(F24:F26)</f>
        <v>121.29999999999998</v>
      </c>
      <c r="G27" s="27">
        <f t="shared" si="15"/>
        <v>115.63800000000001</v>
      </c>
      <c r="H27" s="27">
        <f t="shared" ref="H27:I27" si="16">SUM(H24:H26)</f>
        <v>107.136</v>
      </c>
      <c r="I27" s="27">
        <f t="shared" si="16"/>
        <v>107.405</v>
      </c>
      <c r="J27" s="27">
        <f t="shared" ref="J27:K27" si="17">SUM(J24:J26)</f>
        <v>112.749</v>
      </c>
      <c r="K27" s="27">
        <f t="shared" si="17"/>
        <v>117.726</v>
      </c>
      <c r="L27" s="27">
        <f t="shared" ref="L27:U27" si="18">SUM(L24:L26)</f>
        <v>123.28999999999999</v>
      </c>
      <c r="M27" s="27">
        <f t="shared" si="18"/>
        <v>116.91800000000001</v>
      </c>
      <c r="N27" s="27">
        <f t="shared" si="18"/>
        <v>122.20400000000001</v>
      </c>
      <c r="O27" s="27">
        <f t="shared" si="18"/>
        <v>149.07300000000001</v>
      </c>
      <c r="P27" s="27">
        <f t="shared" si="18"/>
        <v>177.26400000000001</v>
      </c>
      <c r="Q27" s="27">
        <f t="shared" si="18"/>
        <v>193.24599999999998</v>
      </c>
      <c r="R27" s="27">
        <f t="shared" si="18"/>
        <v>194.90299999999999</v>
      </c>
      <c r="S27" s="27">
        <f t="shared" si="18"/>
        <v>194.416</v>
      </c>
      <c r="T27" s="27">
        <f t="shared" si="18"/>
        <v>193.56899999999999</v>
      </c>
      <c r="U27" s="27">
        <f t="shared" si="18"/>
        <v>192.57799999999997</v>
      </c>
      <c r="V27" s="31"/>
      <c r="W27" s="31"/>
      <c r="X27" s="31"/>
    </row>
    <row r="28" spans="1:24" s="24" customFormat="1"/>
    <row r="29" spans="1:24" s="17" customFormat="1">
      <c r="A29" s="17" t="s">
        <v>58</v>
      </c>
      <c r="B29" s="27">
        <f t="shared" ref="B29" si="19">B22</f>
        <v>33.305</v>
      </c>
      <c r="C29" s="27">
        <f t="shared" ref="C29:D29" si="20">C22</f>
        <v>32.665999999999997</v>
      </c>
      <c r="D29" s="27">
        <f t="shared" si="20"/>
        <v>55.791000000000004</v>
      </c>
      <c r="E29" s="27">
        <f t="shared" ref="E29:F29" si="21">E22</f>
        <v>38.136000000000003</v>
      </c>
      <c r="F29" s="27">
        <f t="shared" si="21"/>
        <v>24.013999999999999</v>
      </c>
      <c r="G29" s="27">
        <f t="shared" ref="G29:I29" si="22">G22</f>
        <v>26.454999999999998</v>
      </c>
      <c r="H29" s="27">
        <f t="shared" si="22"/>
        <v>42.260999999999996</v>
      </c>
      <c r="I29" s="27">
        <f t="shared" si="22"/>
        <v>28.57</v>
      </c>
      <c r="J29" s="27">
        <f t="shared" ref="J29:K29" si="23">J22</f>
        <v>18.352</v>
      </c>
      <c r="K29" s="27">
        <f t="shared" si="23"/>
        <v>17.952999999999996</v>
      </c>
      <c r="L29" s="27">
        <f t="shared" ref="L29:X29" si="24">L22</f>
        <v>42.53</v>
      </c>
      <c r="M29" s="27">
        <f t="shared" si="24"/>
        <v>33.914000000000001</v>
      </c>
      <c r="N29" s="27">
        <f t="shared" si="24"/>
        <v>23.329000000000001</v>
      </c>
      <c r="O29" s="27">
        <f t="shared" si="24"/>
        <v>23.517000000000003</v>
      </c>
      <c r="P29" s="27">
        <f t="shared" si="24"/>
        <v>36.158000000000001</v>
      </c>
      <c r="Q29" s="27">
        <f t="shared" si="24"/>
        <v>39.200000000000003</v>
      </c>
      <c r="R29" s="27">
        <f t="shared" si="24"/>
        <v>50.198</v>
      </c>
      <c r="S29" s="27">
        <f t="shared" si="24"/>
        <v>51.707999999999998</v>
      </c>
      <c r="T29" s="27">
        <f t="shared" si="24"/>
        <v>52.14</v>
      </c>
      <c r="U29" s="27">
        <f t="shared" si="24"/>
        <v>40.856999999999992</v>
      </c>
      <c r="V29" s="27">
        <f t="shared" si="24"/>
        <v>49.711000000000006</v>
      </c>
      <c r="W29" s="27">
        <f t="shared" si="24"/>
        <v>50.86099999999999</v>
      </c>
      <c r="X29" s="27">
        <f t="shared" si="24"/>
        <v>51.149000000000008</v>
      </c>
    </row>
    <row r="30" spans="1:24" s="33" customFormat="1">
      <c r="A30" s="20" t="s">
        <v>63</v>
      </c>
      <c r="B30" s="20">
        <v>-11.644</v>
      </c>
      <c r="C30" s="20">
        <f>-44.239-D30-E30-F30</f>
        <v>-11.548999999999998</v>
      </c>
      <c r="D30" s="20">
        <v>-11.497999999999999</v>
      </c>
      <c r="E30" s="20">
        <f>-21.192-F30</f>
        <v>-10.353</v>
      </c>
      <c r="F30" s="20">
        <v>-10.839</v>
      </c>
      <c r="G30" s="20">
        <f>-46.208-H30-I30-J30</f>
        <v>-10.785</v>
      </c>
      <c r="H30" s="20">
        <v>-11.952</v>
      </c>
      <c r="I30" s="20">
        <f>-23.471-J30</f>
        <v>-11.98</v>
      </c>
      <c r="J30" s="20">
        <v>-11.491</v>
      </c>
      <c r="K30" s="20">
        <f>-47.862-L30-M30-N30</f>
        <v>-12.133000000000001</v>
      </c>
      <c r="L30" s="20">
        <f>-35.729-M30-N30</f>
        <v>-11.890999999999996</v>
      </c>
      <c r="M30" s="20">
        <f>-23.838-N30</f>
        <v>-12.151000000000002</v>
      </c>
      <c r="N30" s="20">
        <v>-11.686999999999999</v>
      </c>
      <c r="O30" s="20">
        <f>-50.01-R30-Q30-P30</f>
        <v>-11.886999999999997</v>
      </c>
      <c r="P30" s="20">
        <v>-12.614000000000001</v>
      </c>
      <c r="Q30" s="20">
        <v>-12.622</v>
      </c>
      <c r="R30" s="20">
        <v>-12.887</v>
      </c>
      <c r="S30" s="20">
        <v>-15.128</v>
      </c>
      <c r="T30" s="20">
        <v>-16.239999999999998</v>
      </c>
      <c r="U30" s="20">
        <v>-6.0330000000000004</v>
      </c>
      <c r="V30" s="20">
        <v>-7.7939999999999996</v>
      </c>
      <c r="W30" s="20">
        <v>-7.0780000000000003</v>
      </c>
      <c r="X30" s="20">
        <v>-7.3940000000000001</v>
      </c>
    </row>
    <row r="31" spans="1:24" s="33" customFormat="1">
      <c r="A31" s="20" t="s">
        <v>64</v>
      </c>
      <c r="B31" s="20">
        <v>0</v>
      </c>
      <c r="C31" s="20">
        <v>0</v>
      </c>
      <c r="D31" s="20">
        <v>0</v>
      </c>
      <c r="E31" s="20">
        <v>0</v>
      </c>
      <c r="F31" s="20">
        <v>0</v>
      </c>
      <c r="G31" s="20">
        <v>0</v>
      </c>
      <c r="H31" s="20">
        <v>0</v>
      </c>
      <c r="I31" s="20">
        <v>0</v>
      </c>
      <c r="J31" s="20">
        <v>0</v>
      </c>
      <c r="K31" s="20">
        <v>0</v>
      </c>
      <c r="L31" s="20">
        <v>0</v>
      </c>
      <c r="M31" s="20">
        <v>0</v>
      </c>
      <c r="N31" s="20">
        <v>0</v>
      </c>
      <c r="O31" s="20">
        <v>0</v>
      </c>
      <c r="P31" s="20">
        <v>0</v>
      </c>
      <c r="Q31" s="20">
        <v>0</v>
      </c>
      <c r="R31" s="20">
        <v>0</v>
      </c>
      <c r="S31" s="20">
        <v>13.285999999999998</v>
      </c>
      <c r="T31" s="20">
        <v>-6.2829999999999977</v>
      </c>
      <c r="U31" s="20">
        <v>-10.171999999999999</v>
      </c>
      <c r="V31" s="20">
        <v>-4.8660000000000014</v>
      </c>
      <c r="W31" s="20">
        <v>1.391</v>
      </c>
      <c r="X31" s="20">
        <v>1.1800000000000002</v>
      </c>
    </row>
    <row r="32" spans="1:24" s="33" customFormat="1">
      <c r="A32" s="20" t="s">
        <v>65</v>
      </c>
      <c r="B32" s="20">
        <f>2.524+0.695+0.818+0.055-2.074-0.101</f>
        <v>1.9169999999999998</v>
      </c>
      <c r="C32" s="20">
        <f>2.017+2.292+1.926+1.392-6.422-4.591-D32-E32-F32</f>
        <v>8.5150000000000006</v>
      </c>
      <c r="D32" s="20">
        <v>-2.8039999999999998</v>
      </c>
      <c r="E32" s="20">
        <f>3.634-2.211-4.118+2.1-9.548+1.046-F32</f>
        <v>-6.2460000000000013</v>
      </c>
      <c r="F32" s="20">
        <f>2.104-1.447-1.829+0.176-2.854+0.999</f>
        <v>-2.851</v>
      </c>
      <c r="G32" s="20">
        <f>-4.77+0.551-2.061-2.085+1.071-0.157+6.328-H32-I32-J32</f>
        <v>5.6800000000000015</v>
      </c>
      <c r="H32" s="20">
        <v>6.2509999999999986</v>
      </c>
      <c r="I32" s="20">
        <f>-0.107-3.344-1.282-0.274-9.777+1.73-J32</f>
        <v>-7.0969999999999995</v>
      </c>
      <c r="J32" s="20">
        <f>-0.568+3.546-0.363+0.577-0.408-8.87+0.129</f>
        <v>-5.956999999999999</v>
      </c>
      <c r="K32" s="20">
        <f>7.953+2.563-0.094-0.37-3.956-0.003+2.06-L32-M32-N32</f>
        <v>19.844000000000001</v>
      </c>
      <c r="L32" s="20">
        <f>-3.639+5.235+2.101-0.399-6.42-12.571+4.002-M32-N32</f>
        <v>-11.004999999999999</v>
      </c>
      <c r="M32" s="20">
        <f>1.307+1.454+3.316-1.586-0.133-3.878+1.927</f>
        <v>2.4069999999999996</v>
      </c>
      <c r="N32" s="20">
        <f>-1.641+6.777-0.117+0.606-0.2-8.589+0.071</f>
        <v>-3.0930000000000004</v>
      </c>
      <c r="O32" s="20">
        <f>-7.206+11.297+18.59+1.102+0.409+6.831-27.035-R32-Q32-P32</f>
        <v>8.1539999999999981</v>
      </c>
      <c r="P32" s="20">
        <f>0.796-2.315+1.078+0.294-0.706+0.112</f>
        <v>-0.74099999999999977</v>
      </c>
      <c r="Q32" s="20">
        <f>-7.534+23.176+0.272-1.673-0.677-10.875+0.155</f>
        <v>2.8439999999999999</v>
      </c>
      <c r="R32" s="20">
        <f>-0.509-9.142+26.01+1.167+0.4+2.105-26.3</f>
        <v>-6.2689999999999984</v>
      </c>
      <c r="S32" s="20">
        <v>-2.4430000000000001</v>
      </c>
      <c r="T32" s="20">
        <v>-0.42</v>
      </c>
      <c r="U32" s="20">
        <v>-0.27800000000000002</v>
      </c>
      <c r="V32" s="20">
        <v>6.0000000000000001E-3</v>
      </c>
      <c r="W32" s="20">
        <v>-0.38400000000000001</v>
      </c>
      <c r="X32" s="20">
        <v>-0.89100000000000001</v>
      </c>
    </row>
    <row r="33" spans="1:27" s="33" customFormat="1">
      <c r="A33" s="20" t="s">
        <v>66</v>
      </c>
      <c r="B33" s="20">
        <f t="shared" ref="B33" si="25">-B19-B20-B21</f>
        <v>-0.82900000000000063</v>
      </c>
      <c r="C33" s="20">
        <f t="shared" ref="C33:E33" si="26">-C19-C20-C21</f>
        <v>-8.7419999999999973</v>
      </c>
      <c r="D33" s="20">
        <f t="shared" si="26"/>
        <v>-2.7700000000000031</v>
      </c>
      <c r="E33" s="20">
        <f t="shared" si="26"/>
        <v>-2.4410000000000025</v>
      </c>
      <c r="F33" s="20">
        <f t="shared" ref="F33:G33" si="27">-F19-F20-F21</f>
        <v>-3.1709999999999994</v>
      </c>
      <c r="G33" s="20">
        <f t="shared" si="27"/>
        <v>-14.227999999999998</v>
      </c>
      <c r="H33" s="20">
        <f t="shared" ref="H33:M33" si="28">-H19-H20-H21</f>
        <v>-0.67499999999999716</v>
      </c>
      <c r="I33" s="20">
        <f t="shared" si="28"/>
        <v>-3.3449999999999989</v>
      </c>
      <c r="J33" s="20">
        <f t="shared" si="28"/>
        <v>-2.3189999999999991</v>
      </c>
      <c r="K33" s="20">
        <f t="shared" si="28"/>
        <v>-7.122999999999994</v>
      </c>
      <c r="L33" s="20">
        <f t="shared" si="28"/>
        <v>-0.25</v>
      </c>
      <c r="M33" s="20">
        <f t="shared" si="28"/>
        <v>-9.9820000000000029</v>
      </c>
      <c r="N33" s="20">
        <f t="shared" ref="N33:X33" si="29">-N19-N20-N21</f>
        <v>-0.58699999999999974</v>
      </c>
      <c r="O33" s="20">
        <f t="shared" si="29"/>
        <v>-0.15199999999999392</v>
      </c>
      <c r="P33" s="20">
        <f t="shared" si="29"/>
        <v>9.0000000000003411E-3</v>
      </c>
      <c r="Q33" s="20">
        <f t="shared" si="29"/>
        <v>-3.3260000000000005</v>
      </c>
      <c r="R33" s="20">
        <f t="shared" si="29"/>
        <v>-0.78099999999999881</v>
      </c>
      <c r="S33" s="20">
        <f t="shared" si="29"/>
        <v>-7.4859999999999971</v>
      </c>
      <c r="T33" s="20">
        <f t="shared" si="29"/>
        <v>-0.50200000000000244</v>
      </c>
      <c r="U33" s="20">
        <f t="shared" si="29"/>
        <v>-4.8659999999999997</v>
      </c>
      <c r="V33" s="20">
        <f t="shared" si="29"/>
        <v>-1.0730000000000004</v>
      </c>
      <c r="W33" s="20">
        <f t="shared" si="29"/>
        <v>-9.3029999999999973</v>
      </c>
      <c r="X33" s="20">
        <f t="shared" si="29"/>
        <v>0.22999999999999687</v>
      </c>
    </row>
    <row r="34" spans="1:27" s="33" customFormat="1">
      <c r="A34" s="20" t="s">
        <v>57</v>
      </c>
      <c r="B34" s="29">
        <f t="shared" ref="B34" si="30">B35-B29-B30-B31-B32-B33</f>
        <v>3.4090000000000025</v>
      </c>
      <c r="C34" s="29">
        <f t="shared" ref="C34:E34" si="31">C35-C29-C30-C31-C32-C33</f>
        <v>8.3609999999999989</v>
      </c>
      <c r="D34" s="29">
        <f t="shared" si="31"/>
        <v>0.4149999999999987</v>
      </c>
      <c r="E34" s="29">
        <f t="shared" si="31"/>
        <v>0.1089999999999991</v>
      </c>
      <c r="F34" s="29">
        <f t="shared" ref="F34:G34" si="32">F35-F29-F30-F31-F32-F33</f>
        <v>7.0000000000005613E-3</v>
      </c>
      <c r="G34" s="29">
        <f t="shared" si="32"/>
        <v>-0.3219999999999974</v>
      </c>
      <c r="H34" s="29">
        <f t="shared" ref="H34:X34" si="33">H35-H29-H30-H31-H32-H33</f>
        <v>-1.1829999999999989</v>
      </c>
      <c r="I34" s="29">
        <f t="shared" si="33"/>
        <v>-0.57300000000000217</v>
      </c>
      <c r="J34" s="29">
        <f t="shared" si="33"/>
        <v>0.30299999999999905</v>
      </c>
      <c r="K34" s="29">
        <f t="shared" si="33"/>
        <v>0.25899999999999501</v>
      </c>
      <c r="L34" s="29">
        <f t="shared" si="33"/>
        <v>-0.14600000000000612</v>
      </c>
      <c r="M34" s="29">
        <f t="shared" si="33"/>
        <v>0.13200000000000323</v>
      </c>
      <c r="N34" s="29">
        <f t="shared" si="33"/>
        <v>-1.1000000000000565E-2</v>
      </c>
      <c r="O34" s="29">
        <f t="shared" si="33"/>
        <v>-2.3650000000000144</v>
      </c>
      <c r="P34" s="29">
        <f t="shared" si="33"/>
        <v>2.0569999999999986</v>
      </c>
      <c r="Q34" s="29">
        <f t="shared" si="33"/>
        <v>-6.0000000000024478E-3</v>
      </c>
      <c r="R34" s="29">
        <f t="shared" si="33"/>
        <v>0.14399999999999835</v>
      </c>
      <c r="S34" s="29">
        <f t="shared" si="33"/>
        <v>2.6380000000000035</v>
      </c>
      <c r="T34" s="29">
        <f t="shared" si="33"/>
        <v>1.0199999999999978</v>
      </c>
      <c r="U34" s="29">
        <f t="shared" si="33"/>
        <v>2.5350000000000068</v>
      </c>
      <c r="V34" s="29">
        <f t="shared" si="33"/>
        <v>2.4329999999999972</v>
      </c>
      <c r="W34" s="29">
        <f t="shared" si="33"/>
        <v>7.4340000000000064</v>
      </c>
      <c r="X34" s="29">
        <f t="shared" si="33"/>
        <v>0.94599999999999396</v>
      </c>
    </row>
    <row r="35" spans="1:27" s="27" customFormat="1">
      <c r="A35" s="27" t="s">
        <v>67</v>
      </c>
      <c r="B35" s="27">
        <v>26.158000000000001</v>
      </c>
      <c r="C35" s="27">
        <f>94.75-D35-E35-F35</f>
        <v>29.251000000000001</v>
      </c>
      <c r="D35" s="27">
        <v>39.134</v>
      </c>
      <c r="E35" s="27">
        <f>26.365-F35</f>
        <v>19.204999999999998</v>
      </c>
      <c r="F35" s="27">
        <v>7.16</v>
      </c>
      <c r="G35" s="27">
        <f>45.965-H35-J35-I35</f>
        <v>6.8000000000000052</v>
      </c>
      <c r="H35" s="27">
        <v>34.701999999999998</v>
      </c>
      <c r="I35" s="27">
        <f>4.463-J35</f>
        <v>5.5750000000000002</v>
      </c>
      <c r="J35" s="27">
        <v>-1.1120000000000001</v>
      </c>
      <c r="K35" s="27">
        <f>60.309-L35-M35-N35</f>
        <v>18.799999999999997</v>
      </c>
      <c r="L35" s="27">
        <f>41.509-M35-N35</f>
        <v>19.238</v>
      </c>
      <c r="M35" s="27">
        <f>22.271-N35</f>
        <v>14.32</v>
      </c>
      <c r="N35" s="27">
        <v>7.9509999999999996</v>
      </c>
      <c r="O35" s="27">
        <f>98.631-R35-Q35-P35</f>
        <v>17.266999999999996</v>
      </c>
      <c r="P35" s="27">
        <f>81.364-Q35-R35</f>
        <v>24.869</v>
      </c>
      <c r="Q35" s="27">
        <v>26.09</v>
      </c>
      <c r="R35" s="27">
        <v>30.405000000000001</v>
      </c>
      <c r="S35" s="27">
        <v>42.575000000000003</v>
      </c>
      <c r="T35" s="27">
        <v>29.715</v>
      </c>
      <c r="U35" s="27">
        <v>22.042999999999999</v>
      </c>
      <c r="V35" s="27">
        <v>38.417000000000002</v>
      </c>
      <c r="W35" s="27">
        <v>42.920999999999999</v>
      </c>
      <c r="X35" s="27">
        <v>45.22</v>
      </c>
      <c r="Z35" s="33"/>
      <c r="AA35" s="33"/>
    </row>
    <row r="36" spans="1:27" s="33" customFormat="1">
      <c r="A36" s="20" t="s">
        <v>68</v>
      </c>
      <c r="B36" s="29">
        <v>-0.23499999999999999</v>
      </c>
      <c r="C36" s="29">
        <f>-2.478-D36-E36-F36</f>
        <v>-0.21500000000000008</v>
      </c>
      <c r="D36" s="29">
        <v>-0.495</v>
      </c>
      <c r="E36" s="29">
        <f>-1.768-F36</f>
        <v>-0.74700000000000011</v>
      </c>
      <c r="F36" s="29">
        <v>-1.0209999999999999</v>
      </c>
      <c r="G36" s="29">
        <f>-1.373-H36-I36-J36</f>
        <v>-0.39700000000000008</v>
      </c>
      <c r="H36" s="29">
        <v>-0.26</v>
      </c>
      <c r="I36" s="29">
        <f>-0.716-J36</f>
        <v>-0.29099999999999998</v>
      </c>
      <c r="J36" s="29">
        <v>-0.42499999999999999</v>
      </c>
      <c r="K36" s="29">
        <f>-1.867-L36-M36-N36</f>
        <v>-0.43700000000000011</v>
      </c>
      <c r="L36" s="29">
        <f>-1.43-M36-N36</f>
        <v>-0.5259999999999998</v>
      </c>
      <c r="M36" s="29">
        <f>-0.904-N36</f>
        <v>-0.45300000000000001</v>
      </c>
      <c r="N36" s="29">
        <v>-0.45100000000000001</v>
      </c>
      <c r="O36" s="29">
        <f>-6.904-R36-Q36-P36</f>
        <v>-0.35200000000000031</v>
      </c>
      <c r="P36" s="29">
        <f>-6.552-Q36-R36</f>
        <v>-0.34199999999999964</v>
      </c>
      <c r="Q36" s="29">
        <v>-3.88</v>
      </c>
      <c r="R36" s="29">
        <v>-2.33</v>
      </c>
      <c r="S36" s="29">
        <v>-2.4430000000000001</v>
      </c>
      <c r="T36" s="29">
        <v>-0.42</v>
      </c>
      <c r="U36" s="29">
        <v>-0.27800000000000002</v>
      </c>
      <c r="V36" s="29">
        <v>6.0000000000000001E-3</v>
      </c>
      <c r="W36" s="29">
        <v>-0.38400000000000001</v>
      </c>
      <c r="X36" s="29">
        <v>-0.89100000000000001</v>
      </c>
      <c r="Z36" s="27"/>
    </row>
    <row r="37" spans="1:27" s="27" customFormat="1">
      <c r="A37" s="27" t="s">
        <v>69</v>
      </c>
      <c r="B37" s="27">
        <f t="shared" ref="B37:X37" si="34">+B35+B36</f>
        <v>25.923000000000002</v>
      </c>
      <c r="C37" s="27">
        <f t="shared" si="34"/>
        <v>29.036000000000001</v>
      </c>
      <c r="D37" s="27">
        <f t="shared" si="34"/>
        <v>38.639000000000003</v>
      </c>
      <c r="E37" s="27">
        <f t="shared" si="34"/>
        <v>18.457999999999998</v>
      </c>
      <c r="F37" s="27">
        <f t="shared" si="34"/>
        <v>6.1390000000000002</v>
      </c>
      <c r="G37" s="27">
        <f t="shared" si="34"/>
        <v>6.4030000000000049</v>
      </c>
      <c r="H37" s="27">
        <f t="shared" si="34"/>
        <v>34.442</v>
      </c>
      <c r="I37" s="27">
        <f t="shared" si="34"/>
        <v>5.2839999999999998</v>
      </c>
      <c r="J37" s="27">
        <f t="shared" si="34"/>
        <v>-1.5370000000000001</v>
      </c>
      <c r="K37" s="27">
        <f t="shared" si="34"/>
        <v>18.362999999999996</v>
      </c>
      <c r="L37" s="27">
        <f t="shared" si="34"/>
        <v>18.712</v>
      </c>
      <c r="M37" s="27">
        <f t="shared" si="34"/>
        <v>13.867000000000001</v>
      </c>
      <c r="N37" s="27">
        <f t="shared" si="34"/>
        <v>7.5</v>
      </c>
      <c r="O37" s="27">
        <f t="shared" si="34"/>
        <v>16.914999999999996</v>
      </c>
      <c r="P37" s="27">
        <f t="shared" si="34"/>
        <v>24.527000000000001</v>
      </c>
      <c r="Q37" s="27">
        <f t="shared" si="34"/>
        <v>22.21</v>
      </c>
      <c r="R37" s="27">
        <f t="shared" si="34"/>
        <v>28.075000000000003</v>
      </c>
      <c r="S37" s="27">
        <f t="shared" si="34"/>
        <v>40.132000000000005</v>
      </c>
      <c r="T37" s="27">
        <f t="shared" si="34"/>
        <v>29.294999999999998</v>
      </c>
      <c r="U37" s="27">
        <f t="shared" si="34"/>
        <v>21.765000000000001</v>
      </c>
      <c r="V37" s="27">
        <f t="shared" si="34"/>
        <v>38.423000000000002</v>
      </c>
      <c r="W37" s="27">
        <f t="shared" si="34"/>
        <v>42.536999999999999</v>
      </c>
      <c r="X37" s="27">
        <f t="shared" si="34"/>
        <v>44.329000000000001</v>
      </c>
    </row>
    <row r="39" spans="1:27" s="35" customFormat="1">
      <c r="A39" s="34" t="s">
        <v>70</v>
      </c>
      <c r="B39" s="20">
        <v>63.761000000000003</v>
      </c>
      <c r="C39" s="20">
        <v>65.010999999999996</v>
      </c>
      <c r="D39" s="20">
        <v>56.981000000000002</v>
      </c>
      <c r="E39" s="20">
        <v>56.981000000000002</v>
      </c>
      <c r="F39" s="20">
        <v>58.881</v>
      </c>
      <c r="G39" s="20">
        <v>59.231000000000002</v>
      </c>
      <c r="H39" s="20">
        <v>59.167000000000002</v>
      </c>
      <c r="I39" s="20">
        <v>56.767000000000003</v>
      </c>
      <c r="J39" s="20">
        <v>56.767000000000003</v>
      </c>
      <c r="K39" s="20">
        <v>58.017000000000003</v>
      </c>
      <c r="L39" s="20">
        <v>64.016999999999996</v>
      </c>
      <c r="M39" s="20">
        <v>58.017000000000003</v>
      </c>
      <c r="N39" s="20">
        <v>58.692</v>
      </c>
      <c r="O39" s="20">
        <v>58.692</v>
      </c>
      <c r="P39" s="20">
        <v>66.466999999999999</v>
      </c>
      <c r="Q39" s="20">
        <v>62.067</v>
      </c>
      <c r="R39" s="20">
        <v>62.067</v>
      </c>
      <c r="S39" s="20">
        <v>66.566999999999993</v>
      </c>
      <c r="T39" s="20">
        <v>67.316999999999993</v>
      </c>
      <c r="U39" s="20">
        <v>53.116999999999997</v>
      </c>
      <c r="V39" s="20"/>
      <c r="W39" s="20"/>
      <c r="X39" s="20"/>
      <c r="Z39" s="33"/>
    </row>
    <row r="40" spans="1:27" s="35" customFormat="1">
      <c r="A40" s="34" t="s">
        <v>71</v>
      </c>
      <c r="B40" s="20">
        <f>965.034+10</f>
        <v>975.03399999999999</v>
      </c>
      <c r="C40" s="20">
        <v>987.79499999999996</v>
      </c>
      <c r="D40" s="20">
        <v>804.9079999999999</v>
      </c>
      <c r="E40" s="20">
        <f>828.57+10.5</f>
        <v>839.07</v>
      </c>
      <c r="F40" s="20">
        <f>852.603</f>
        <v>852.60299999999995</v>
      </c>
      <c r="G40" s="20">
        <f>835.243+11.055+10.5</f>
        <v>856.798</v>
      </c>
      <c r="H40" s="20">
        <f>874.661+10.5</f>
        <v>885.16099999999994</v>
      </c>
      <c r="I40" s="20">
        <f>10.5+874.661</f>
        <v>885.16099999999994</v>
      </c>
      <c r="J40" s="20">
        <v>890.96134600000005</v>
      </c>
      <c r="K40" s="20">
        <v>890.96134500000005</v>
      </c>
      <c r="L40" s="20">
        <f>10.5+889.419</f>
        <v>899.91899999999998</v>
      </c>
      <c r="M40" s="20">
        <f>10.5+905.21</f>
        <v>915.71</v>
      </c>
      <c r="N40" s="20">
        <f>10.5+916.757</f>
        <v>927.25699999999995</v>
      </c>
      <c r="O40" s="20">
        <f>10.5+923.583</f>
        <v>934.08299999999997</v>
      </c>
      <c r="P40" s="20">
        <f>935.608+10.5</f>
        <v>946.10799999999995</v>
      </c>
      <c r="Q40" s="20">
        <v>962.89225348000002</v>
      </c>
      <c r="R40" s="20">
        <v>981.10023999999999</v>
      </c>
      <c r="S40" s="20">
        <v>1001.862</v>
      </c>
      <c r="T40" s="20">
        <v>1050</v>
      </c>
      <c r="U40" s="20">
        <v>1050</v>
      </c>
      <c r="V40" s="20"/>
      <c r="W40" s="20"/>
      <c r="X40" s="20"/>
      <c r="Z40" s="33"/>
    </row>
    <row r="41" spans="1:27" s="35" customFormat="1">
      <c r="A41" s="34" t="s">
        <v>72</v>
      </c>
      <c r="B41" s="20">
        <f t="shared" ref="B41:N41" si="35">B39+B40</f>
        <v>1038.7950000000001</v>
      </c>
      <c r="C41" s="20">
        <f t="shared" si="35"/>
        <v>1052.806</v>
      </c>
      <c r="D41" s="20">
        <f t="shared" si="35"/>
        <v>861.8889999999999</v>
      </c>
      <c r="E41" s="20">
        <f t="shared" si="35"/>
        <v>896.05100000000004</v>
      </c>
      <c r="F41" s="20">
        <f t="shared" si="35"/>
        <v>911.48399999999992</v>
      </c>
      <c r="G41" s="20">
        <f t="shared" si="35"/>
        <v>916.029</v>
      </c>
      <c r="H41" s="20">
        <f t="shared" si="35"/>
        <v>944.32799999999997</v>
      </c>
      <c r="I41" s="20">
        <f t="shared" si="35"/>
        <v>941.928</v>
      </c>
      <c r="J41" s="20">
        <f t="shared" si="35"/>
        <v>947.7283460000001</v>
      </c>
      <c r="K41" s="20">
        <f t="shared" si="35"/>
        <v>948.9783450000001</v>
      </c>
      <c r="L41" s="20">
        <f t="shared" si="35"/>
        <v>963.93599999999992</v>
      </c>
      <c r="M41" s="20">
        <f t="shared" si="35"/>
        <v>973.72700000000009</v>
      </c>
      <c r="N41" s="20">
        <f t="shared" si="35"/>
        <v>985.94899999999996</v>
      </c>
      <c r="O41" s="20">
        <f t="shared" ref="O41:U41" si="36">O39+O40</f>
        <v>992.77499999999998</v>
      </c>
      <c r="P41" s="20">
        <f t="shared" si="36"/>
        <v>1012.5749999999999</v>
      </c>
      <c r="Q41" s="20">
        <f t="shared" si="36"/>
        <v>1024.9592534799999</v>
      </c>
      <c r="R41" s="20">
        <f t="shared" si="36"/>
        <v>1043.16724</v>
      </c>
      <c r="S41" s="20">
        <f t="shared" si="36"/>
        <v>1068.4289999999999</v>
      </c>
      <c r="T41" s="20">
        <f t="shared" si="36"/>
        <v>1117.317</v>
      </c>
      <c r="U41" s="20">
        <f t="shared" si="36"/>
        <v>1103.117</v>
      </c>
      <c r="V41" s="20"/>
      <c r="W41" s="20"/>
      <c r="X41" s="20"/>
      <c r="Z41" s="33"/>
    </row>
    <row r="42" spans="1:27" s="35" customFormat="1">
      <c r="A42" s="34" t="s">
        <v>73</v>
      </c>
      <c r="B42" s="36">
        <f t="shared" ref="B42:U42" si="37">337+337</f>
        <v>674</v>
      </c>
      <c r="C42" s="36">
        <f t="shared" si="37"/>
        <v>674</v>
      </c>
      <c r="D42" s="36">
        <f t="shared" si="37"/>
        <v>674</v>
      </c>
      <c r="E42" s="36">
        <f t="shared" si="37"/>
        <v>674</v>
      </c>
      <c r="F42" s="36">
        <f t="shared" si="37"/>
        <v>674</v>
      </c>
      <c r="G42" s="36">
        <f t="shared" si="37"/>
        <v>674</v>
      </c>
      <c r="H42" s="36">
        <f t="shared" si="37"/>
        <v>674</v>
      </c>
      <c r="I42" s="36">
        <f t="shared" si="37"/>
        <v>674</v>
      </c>
      <c r="J42" s="36">
        <f t="shared" si="37"/>
        <v>674</v>
      </c>
      <c r="K42" s="36">
        <f t="shared" si="37"/>
        <v>674</v>
      </c>
      <c r="L42" s="36">
        <f t="shared" si="37"/>
        <v>674</v>
      </c>
      <c r="M42" s="36">
        <f t="shared" si="37"/>
        <v>674</v>
      </c>
      <c r="N42" s="36">
        <f t="shared" si="37"/>
        <v>674</v>
      </c>
      <c r="O42" s="36">
        <f t="shared" si="37"/>
        <v>674</v>
      </c>
      <c r="P42" s="36">
        <f t="shared" si="37"/>
        <v>674</v>
      </c>
      <c r="Q42" s="36">
        <f t="shared" si="37"/>
        <v>674</v>
      </c>
      <c r="R42" s="36">
        <f t="shared" si="37"/>
        <v>674</v>
      </c>
      <c r="S42" s="36">
        <f t="shared" si="37"/>
        <v>674</v>
      </c>
      <c r="T42" s="36">
        <f t="shared" si="37"/>
        <v>674</v>
      </c>
      <c r="U42" s="36">
        <f t="shared" si="37"/>
        <v>674</v>
      </c>
      <c r="V42" s="36"/>
      <c r="W42" s="36"/>
      <c r="X42" s="36"/>
      <c r="Z42" s="33"/>
    </row>
    <row r="43" spans="1:27">
      <c r="B43" s="35"/>
      <c r="C43" s="35"/>
      <c r="D43" s="35"/>
      <c r="E43" s="35"/>
      <c r="F43" s="35"/>
      <c r="G43" s="35"/>
      <c r="H43" s="35"/>
      <c r="I43" s="35"/>
      <c r="J43" s="35"/>
      <c r="K43" s="35"/>
      <c r="L43" s="35"/>
      <c r="M43" s="35"/>
      <c r="N43" s="35"/>
      <c r="O43" s="35"/>
      <c r="P43" s="35"/>
      <c r="Q43" s="35"/>
      <c r="R43" s="35"/>
      <c r="S43" s="35"/>
    </row>
    <row r="44" spans="1:27">
      <c r="A44" s="19" t="s">
        <v>74</v>
      </c>
      <c r="B44" s="28">
        <v>30.863</v>
      </c>
      <c r="C44" s="28">
        <v>30.079000000000001</v>
      </c>
      <c r="D44" s="28">
        <v>19.823</v>
      </c>
      <c r="E44" s="28">
        <v>19.533999999999999</v>
      </c>
      <c r="F44" s="28">
        <v>20.001000000000001</v>
      </c>
      <c r="G44" s="28">
        <v>22.552</v>
      </c>
      <c r="H44" s="28">
        <v>48.122</v>
      </c>
      <c r="I44" s="28">
        <v>13.079000000000001</v>
      </c>
      <c r="J44" s="28">
        <v>13.801</v>
      </c>
      <c r="K44" s="28">
        <v>18.891999999999999</v>
      </c>
      <c r="L44" s="28">
        <v>21.231000000000002</v>
      </c>
      <c r="M44" s="28">
        <v>16.283999999999999</v>
      </c>
      <c r="N44" s="28">
        <v>20.300999999999998</v>
      </c>
      <c r="O44" s="28">
        <v>20.323</v>
      </c>
      <c r="P44" s="28">
        <v>27.494</v>
      </c>
      <c r="Q44" s="28">
        <v>28.715</v>
      </c>
      <c r="R44" s="28">
        <v>25.09</v>
      </c>
      <c r="S44" s="28">
        <v>22.841999999999999</v>
      </c>
      <c r="T44" s="28">
        <v>16.771000000000001</v>
      </c>
      <c r="U44" s="28">
        <v>13.762</v>
      </c>
      <c r="V44" s="28"/>
      <c r="W44" s="28"/>
      <c r="X44" s="28"/>
    </row>
    <row r="46" spans="1:27">
      <c r="A46" s="14" t="s">
        <v>75</v>
      </c>
      <c r="B46" s="33">
        <f t="shared" ref="B46:U46" si="38">SUM(B12:E12)</f>
        <v>334.62599999999998</v>
      </c>
      <c r="C46" s="33">
        <f t="shared" si="38"/>
        <v>325.52100000000002</v>
      </c>
      <c r="D46" s="33">
        <f t="shared" si="38"/>
        <v>324.58299999999997</v>
      </c>
      <c r="E46" s="33">
        <f t="shared" si="38"/>
        <v>316.68299999999999</v>
      </c>
      <c r="F46" s="33">
        <f t="shared" si="38"/>
        <v>322.87800000000004</v>
      </c>
      <c r="G46" s="33">
        <f t="shared" si="38"/>
        <v>319.17700000000002</v>
      </c>
      <c r="H46" s="33">
        <f t="shared" si="38"/>
        <v>310.29200000000003</v>
      </c>
      <c r="I46" s="33">
        <f t="shared" si="38"/>
        <v>325.16700000000003</v>
      </c>
      <c r="J46" s="33">
        <f t="shared" si="38"/>
        <v>326.00900000000001</v>
      </c>
      <c r="K46" s="33">
        <f t="shared" si="38"/>
        <v>342.39699999999999</v>
      </c>
      <c r="L46" s="33">
        <f t="shared" si="38"/>
        <v>345.10400000000004</v>
      </c>
      <c r="M46" s="33">
        <f t="shared" si="38"/>
        <v>331.16500000000002</v>
      </c>
      <c r="N46" s="33">
        <f t="shared" si="38"/>
        <v>353.654</v>
      </c>
      <c r="O46" s="33">
        <f t="shared" si="38"/>
        <v>395.00700000000001</v>
      </c>
      <c r="P46" s="33">
        <f t="shared" si="38"/>
        <v>410.58799999999997</v>
      </c>
      <c r="Q46" s="33">
        <f t="shared" si="38"/>
        <v>430.39699999999999</v>
      </c>
      <c r="R46" s="33">
        <f t="shared" si="38"/>
        <v>419.84300000000002</v>
      </c>
      <c r="S46" s="33">
        <f t="shared" si="38"/>
        <v>376.69200000000001</v>
      </c>
      <c r="T46" s="33">
        <f t="shared" si="38"/>
        <v>371.678</v>
      </c>
      <c r="U46" s="33">
        <f t="shared" si="38"/>
        <v>370.548</v>
      </c>
    </row>
    <row r="47" spans="1:27">
      <c r="A47" s="14" t="s">
        <v>76</v>
      </c>
      <c r="B47" s="33">
        <f t="shared" ref="B47" si="39">+B27</f>
        <v>159.898</v>
      </c>
      <c r="C47" s="33">
        <f t="shared" ref="C47" si="40">+C27</f>
        <v>150.607</v>
      </c>
      <c r="D47" s="33">
        <f t="shared" ref="D47:E47" si="41">+D27</f>
        <v>144.39600000000002</v>
      </c>
      <c r="E47" s="33">
        <f t="shared" si="41"/>
        <v>130.86599999999999</v>
      </c>
      <c r="F47" s="33">
        <f t="shared" ref="F47:G47" si="42">+F27</f>
        <v>121.29999999999998</v>
      </c>
      <c r="G47" s="33">
        <f t="shared" si="42"/>
        <v>115.63800000000001</v>
      </c>
      <c r="H47" s="33">
        <f t="shared" ref="H47:I47" si="43">+H27</f>
        <v>107.136</v>
      </c>
      <c r="I47" s="33">
        <f t="shared" si="43"/>
        <v>107.405</v>
      </c>
      <c r="J47" s="33">
        <f t="shared" ref="J47:O47" si="44">+J27</f>
        <v>112.749</v>
      </c>
      <c r="K47" s="33">
        <f t="shared" si="44"/>
        <v>117.726</v>
      </c>
      <c r="L47" s="33">
        <f t="shared" si="44"/>
        <v>123.28999999999999</v>
      </c>
      <c r="M47" s="33">
        <f t="shared" si="44"/>
        <v>116.91800000000001</v>
      </c>
      <c r="N47" s="33">
        <f t="shared" si="44"/>
        <v>122.20400000000001</v>
      </c>
      <c r="O47" s="33">
        <f t="shared" si="44"/>
        <v>149.07300000000001</v>
      </c>
      <c r="P47" s="33">
        <f t="shared" ref="P47:U47" si="45">+P27</f>
        <v>177.26400000000001</v>
      </c>
      <c r="Q47" s="33">
        <f t="shared" si="45"/>
        <v>193.24599999999998</v>
      </c>
      <c r="R47" s="33">
        <f t="shared" si="45"/>
        <v>194.90299999999999</v>
      </c>
      <c r="S47" s="33">
        <f t="shared" si="45"/>
        <v>194.416</v>
      </c>
      <c r="T47" s="33">
        <f t="shared" si="45"/>
        <v>193.56899999999999</v>
      </c>
      <c r="U47" s="33">
        <f t="shared" si="45"/>
        <v>192.57799999999997</v>
      </c>
    </row>
    <row r="48" spans="1:27">
      <c r="A48" s="14" t="s">
        <v>77</v>
      </c>
      <c r="B48" s="33">
        <f t="shared" ref="B48:U48" si="46">+SUM(B37:E37)</f>
        <v>112.05600000000001</v>
      </c>
      <c r="C48" s="33">
        <f t="shared" si="46"/>
        <v>92.272000000000006</v>
      </c>
      <c r="D48" s="33">
        <f t="shared" si="46"/>
        <v>69.63900000000001</v>
      </c>
      <c r="E48" s="33">
        <f t="shared" si="46"/>
        <v>65.442000000000007</v>
      </c>
      <c r="F48" s="33">
        <f t="shared" si="46"/>
        <v>52.268000000000008</v>
      </c>
      <c r="G48" s="33">
        <f t="shared" si="46"/>
        <v>44.592000000000006</v>
      </c>
      <c r="H48" s="33">
        <f t="shared" si="46"/>
        <v>56.551999999999992</v>
      </c>
      <c r="I48" s="33">
        <f t="shared" si="46"/>
        <v>40.821999999999996</v>
      </c>
      <c r="J48" s="33">
        <f t="shared" si="46"/>
        <v>49.405000000000001</v>
      </c>
      <c r="K48" s="33">
        <f t="shared" si="46"/>
        <v>58.441999999999993</v>
      </c>
      <c r="L48" s="33">
        <f t="shared" si="46"/>
        <v>56.994</v>
      </c>
      <c r="M48" s="33">
        <f t="shared" si="46"/>
        <v>62.808999999999997</v>
      </c>
      <c r="N48" s="33">
        <f t="shared" si="46"/>
        <v>71.151999999999987</v>
      </c>
      <c r="O48" s="33">
        <f t="shared" si="46"/>
        <v>91.727000000000004</v>
      </c>
      <c r="P48" s="33">
        <f t="shared" si="46"/>
        <v>114.94400000000002</v>
      </c>
      <c r="Q48" s="33">
        <f t="shared" si="46"/>
        <v>119.712</v>
      </c>
      <c r="R48" s="33">
        <f t="shared" si="46"/>
        <v>119.26700000000001</v>
      </c>
      <c r="S48" s="33">
        <f t="shared" si="46"/>
        <v>129.61500000000001</v>
      </c>
      <c r="T48" s="33">
        <f t="shared" si="46"/>
        <v>132.02000000000001</v>
      </c>
      <c r="U48" s="33">
        <f t="shared" si="46"/>
        <v>147.054</v>
      </c>
    </row>
    <row r="50" spans="1:24" s="37" customFormat="1">
      <c r="A50" s="37" t="s">
        <v>78</v>
      </c>
      <c r="B50" s="37">
        <f t="shared" ref="B50" si="47">+SUM(B39:B40)/B47</f>
        <v>6.4966103390911716</v>
      </c>
      <c r="C50" s="37">
        <f t="shared" ref="C50" si="48">+SUM(C39:C40)/C47</f>
        <v>6.9904187720358291</v>
      </c>
      <c r="D50" s="37">
        <f t="shared" ref="D50:E50" si="49">+SUM(D39:D40)/D47</f>
        <v>5.9689257320147355</v>
      </c>
      <c r="E50" s="37">
        <f t="shared" si="49"/>
        <v>6.8470878608653134</v>
      </c>
      <c r="F50" s="37">
        <f t="shared" ref="F50:G50" si="50">+SUM(F39:F40)/F47</f>
        <v>7.514295136026381</v>
      </c>
      <c r="G50" s="37">
        <f t="shared" si="50"/>
        <v>7.9215223369480618</v>
      </c>
      <c r="H50" s="37">
        <f t="shared" ref="H50:I50" si="51">+SUM(H39:H40)/H47</f>
        <v>8.8142921146953412</v>
      </c>
      <c r="I50" s="37">
        <f t="shared" si="51"/>
        <v>8.7698710488338527</v>
      </c>
      <c r="J50" s="37">
        <f t="shared" ref="J50:K50" si="52">+SUM(J39:J40)/J47</f>
        <v>8.4056474647225272</v>
      </c>
      <c r="K50" s="37">
        <f t="shared" si="52"/>
        <v>8.0609070638601512</v>
      </c>
      <c r="L50" s="37">
        <f t="shared" ref="L50:M50" si="53">+SUM(L39:L40)/L47</f>
        <v>7.818444318273988</v>
      </c>
      <c r="M50" s="37">
        <f t="shared" si="53"/>
        <v>8.3282899125883105</v>
      </c>
      <c r="N50" s="37">
        <f t="shared" ref="N50:U50" si="54">+SUM(N39:N40)/N47</f>
        <v>8.0680583286962779</v>
      </c>
      <c r="O50" s="37">
        <f t="shared" si="54"/>
        <v>6.6596566782717188</v>
      </c>
      <c r="P50" s="37">
        <f t="shared" si="54"/>
        <v>5.7122427565664768</v>
      </c>
      <c r="Q50" s="37">
        <f t="shared" si="54"/>
        <v>5.3039092839179078</v>
      </c>
      <c r="R50" s="37">
        <f t="shared" si="54"/>
        <v>5.3522379850489736</v>
      </c>
      <c r="S50" s="37">
        <f t="shared" si="54"/>
        <v>5.4955816393712444</v>
      </c>
      <c r="T50" s="37">
        <f t="shared" si="54"/>
        <v>5.7721897617903695</v>
      </c>
      <c r="U50" s="37">
        <f t="shared" si="54"/>
        <v>5.7281569026576253</v>
      </c>
    </row>
    <row r="51" spans="1:24" s="37" customFormat="1">
      <c r="A51" s="37" t="s">
        <v>79</v>
      </c>
      <c r="B51" s="37">
        <f t="shared" ref="B51" si="55">+B41/B47</f>
        <v>6.4966103390911716</v>
      </c>
      <c r="C51" s="37">
        <f t="shared" ref="C51" si="56">+C41/C47</f>
        <v>6.9904187720358291</v>
      </c>
      <c r="D51" s="37">
        <f t="shared" ref="D51:E51" si="57">+D41/D47</f>
        <v>5.9689257320147355</v>
      </c>
      <c r="E51" s="37">
        <f t="shared" si="57"/>
        <v>6.8470878608653134</v>
      </c>
      <c r="F51" s="37">
        <f t="shared" ref="F51:G51" si="58">+F41/F47</f>
        <v>7.514295136026381</v>
      </c>
      <c r="G51" s="37">
        <f t="shared" si="58"/>
        <v>7.9215223369480618</v>
      </c>
      <c r="H51" s="37">
        <f t="shared" ref="H51:I51" si="59">+H41/H47</f>
        <v>8.8142921146953412</v>
      </c>
      <c r="I51" s="37">
        <f t="shared" si="59"/>
        <v>8.7698710488338527</v>
      </c>
      <c r="J51" s="37">
        <f t="shared" ref="J51:K51" si="60">+J41/J47</f>
        <v>8.4056474647225272</v>
      </c>
      <c r="K51" s="37">
        <f t="shared" si="60"/>
        <v>8.0609070638601512</v>
      </c>
      <c r="L51" s="37">
        <f t="shared" ref="L51:U51" si="61">+L41/L47</f>
        <v>7.818444318273988</v>
      </c>
      <c r="M51" s="37">
        <f t="shared" si="61"/>
        <v>8.3282899125883105</v>
      </c>
      <c r="N51" s="37">
        <f t="shared" si="61"/>
        <v>8.0680583286962779</v>
      </c>
      <c r="O51" s="37">
        <f t="shared" si="61"/>
        <v>6.6596566782717188</v>
      </c>
      <c r="P51" s="37">
        <f t="shared" si="61"/>
        <v>5.7122427565664768</v>
      </c>
      <c r="Q51" s="37">
        <f t="shared" si="61"/>
        <v>5.3039092839179078</v>
      </c>
      <c r="R51" s="37">
        <f t="shared" si="61"/>
        <v>5.3522379850489736</v>
      </c>
      <c r="S51" s="37">
        <f t="shared" si="61"/>
        <v>5.4955816393712444</v>
      </c>
      <c r="T51" s="37">
        <f t="shared" si="61"/>
        <v>5.7721897617903695</v>
      </c>
      <c r="U51" s="37">
        <f t="shared" si="61"/>
        <v>5.7281569026576253</v>
      </c>
    </row>
    <row r="52" spans="1:24" s="37" customFormat="1">
      <c r="A52" s="37" t="s">
        <v>80</v>
      </c>
      <c r="B52" s="37">
        <f t="shared" ref="B52" si="62">+(B41-B44)/B47</f>
        <v>6.3035935408823125</v>
      </c>
      <c r="C52" s="37">
        <f t="shared" ref="C52" si="63">+(C41-C44)/C47</f>
        <v>6.7907002994548735</v>
      </c>
      <c r="D52" s="37">
        <f t="shared" ref="D52:E52" si="64">+(D41-D44)/D47</f>
        <v>5.8316435358320167</v>
      </c>
      <c r="E52" s="37">
        <f t="shared" si="64"/>
        <v>6.6978206715266007</v>
      </c>
      <c r="F52" s="37">
        <f t="shared" ref="F52:G52" si="65">+(F41-F44)/F47</f>
        <v>7.3494064303380053</v>
      </c>
      <c r="G52" s="37">
        <f t="shared" si="65"/>
        <v>7.7264999394662652</v>
      </c>
      <c r="H52" s="37">
        <f t="shared" ref="H52:I52" si="66">+(H41-H44)/H47</f>
        <v>8.3651247013142171</v>
      </c>
      <c r="I52" s="37">
        <f t="shared" si="66"/>
        <v>8.6480983194450918</v>
      </c>
      <c r="J52" s="37">
        <f t="shared" ref="J52:K52" si="67">+(J41-J44)/J47</f>
        <v>8.2832428314220099</v>
      </c>
      <c r="K52" s="37">
        <f t="shared" si="67"/>
        <v>7.9004327421300315</v>
      </c>
      <c r="L52" s="37">
        <f t="shared" ref="L52:U52" si="68">+(L41-L44)/L47</f>
        <v>7.6462405710114361</v>
      </c>
      <c r="M52" s="37">
        <f t="shared" si="68"/>
        <v>8.1890128123984329</v>
      </c>
      <c r="N52" s="37">
        <f t="shared" si="68"/>
        <v>7.9019344702301062</v>
      </c>
      <c r="O52" s="37">
        <f t="shared" si="68"/>
        <v>6.5233274972664397</v>
      </c>
      <c r="P52" s="37">
        <f t="shared" si="68"/>
        <v>5.5571407618016062</v>
      </c>
      <c r="Q52" s="37">
        <f t="shared" si="68"/>
        <v>5.1553162988108419</v>
      </c>
      <c r="R52" s="37">
        <f t="shared" si="68"/>
        <v>5.2235072831100595</v>
      </c>
      <c r="S52" s="37">
        <f t="shared" si="68"/>
        <v>5.3780913093572531</v>
      </c>
      <c r="T52" s="37">
        <f t="shared" si="68"/>
        <v>5.6855488223837503</v>
      </c>
      <c r="U52" s="37">
        <f t="shared" si="68"/>
        <v>5.6566949495788732</v>
      </c>
    </row>
    <row r="53" spans="1:24" s="38" customFormat="1">
      <c r="A53" s="38" t="s">
        <v>81</v>
      </c>
      <c r="B53" s="38">
        <f t="shared" ref="B53" si="69">+B48/B41</f>
        <v>0.10787113915642645</v>
      </c>
      <c r="C53" s="38">
        <f t="shared" ref="C53" si="70">+C48/C41</f>
        <v>8.7643877409513252E-2</v>
      </c>
      <c r="D53" s="38">
        <f t="shared" ref="D53:E53" si="71">+D48/D41</f>
        <v>8.0798107412903539E-2</v>
      </c>
      <c r="E53" s="38">
        <f t="shared" si="71"/>
        <v>7.3033789371363914E-2</v>
      </c>
      <c r="F53" s="38">
        <f t="shared" ref="F53:G53" si="72">+F48/F41</f>
        <v>5.7343848054381662E-2</v>
      </c>
      <c r="G53" s="38">
        <f t="shared" si="72"/>
        <v>4.8679681538466586E-2</v>
      </c>
      <c r="H53" s="38">
        <f t="shared" ref="H53:I53" si="73">+H48/H41</f>
        <v>5.988597182334951E-2</v>
      </c>
      <c r="I53" s="38">
        <f t="shared" si="73"/>
        <v>4.3338768992959117E-2</v>
      </c>
      <c r="J53" s="38">
        <f t="shared" ref="J53:O53" si="74">+J48/J41</f>
        <v>5.2129916983616312E-2</v>
      </c>
      <c r="K53" s="38">
        <f t="shared" si="74"/>
        <v>6.1584123924345174E-2</v>
      </c>
      <c r="L53" s="38">
        <f t="shared" si="74"/>
        <v>5.9126332038641573E-2</v>
      </c>
      <c r="M53" s="38">
        <f t="shared" si="74"/>
        <v>6.4503705864169314E-2</v>
      </c>
      <c r="N53" s="38">
        <f t="shared" si="74"/>
        <v>7.2166004529646041E-2</v>
      </c>
      <c r="O53" s="38">
        <f t="shared" si="74"/>
        <v>9.2394550628289399E-2</v>
      </c>
      <c r="P53" s="38">
        <f t="shared" ref="P53:U53" si="75">+P48/P41</f>
        <v>0.11351652963977979</v>
      </c>
      <c r="Q53" s="38">
        <f t="shared" si="75"/>
        <v>0.11679683811190252</v>
      </c>
      <c r="R53" s="38">
        <f t="shared" si="75"/>
        <v>0.11433161953973939</v>
      </c>
      <c r="S53" s="38">
        <f t="shared" si="75"/>
        <v>0.12131362963753327</v>
      </c>
      <c r="T53" s="38">
        <f t="shared" si="75"/>
        <v>0.11815805183309662</v>
      </c>
      <c r="U53" s="38">
        <f t="shared" si="75"/>
        <v>0.13330770897375346</v>
      </c>
    </row>
    <row r="54" spans="1:24" s="38" customFormat="1">
      <c r="A54" s="39" t="s">
        <v>82</v>
      </c>
      <c r="B54" s="40"/>
      <c r="C54" s="40"/>
      <c r="D54" s="40"/>
      <c r="E54" s="40"/>
      <c r="F54" s="40"/>
      <c r="G54" s="40"/>
      <c r="H54" s="40"/>
      <c r="I54" s="40"/>
      <c r="J54" s="40"/>
      <c r="K54" s="40"/>
      <c r="L54" s="40"/>
      <c r="M54" s="40"/>
      <c r="N54" s="40"/>
      <c r="O54" s="40"/>
      <c r="P54" s="40"/>
      <c r="Q54" s="40"/>
      <c r="R54" s="40"/>
      <c r="S54" s="40"/>
      <c r="T54" s="40"/>
      <c r="U54" s="40"/>
      <c r="V54" s="39"/>
      <c r="W54" s="39"/>
      <c r="X54" s="39"/>
    </row>
    <row r="55" spans="1:24" s="38" customFormat="1">
      <c r="A55" s="38" t="s">
        <v>83</v>
      </c>
      <c r="B55" s="41">
        <f t="shared" ref="B55" si="76">IF(B42=0,IF(B54="","","*"&amp;TEXT(B54,"0.0x")),(B41+B42-B44)/B47)</f>
        <v>10.518780722710728</v>
      </c>
      <c r="C55" s="41">
        <f t="shared" ref="C55" si="77">IF(C42=0,IF(C54="","","*"&amp;TEXT(C54,"0.0x")),(C41+C42-C44)/C47)</f>
        <v>11.265923894639693</v>
      </c>
      <c r="D55" s="41">
        <f t="shared" ref="D55:E55" si="78">IF(D42=0,IF(D54="","","*"&amp;TEXT(D54,"0.0x")),(D41+D42-D44)/D47)</f>
        <v>10.499362863237206</v>
      </c>
      <c r="E55" s="41">
        <f t="shared" si="78"/>
        <v>11.848127091834396</v>
      </c>
      <c r="F55" s="41">
        <f t="shared" ref="F55:G55" si="79">IF(F42=0,IF(F54="","","*"&amp;TEXT(F54,"0.0x")),(F41+F42-F44)/F47)</f>
        <v>12.90587798845837</v>
      </c>
      <c r="G55" s="41">
        <f t="shared" si="79"/>
        <v>13.555033812414605</v>
      </c>
      <c r="H55" s="41">
        <f t="shared" ref="H55:I55" si="80">IF(H42=0,IF(H54="","","*"&amp;TEXT(H54,"0.0x")),(H41+H42-H44)/H47)</f>
        <v>14.656193996415769</v>
      </c>
      <c r="I55" s="41">
        <f t="shared" si="80"/>
        <v>14.923411386806945</v>
      </c>
      <c r="J55" s="41">
        <f t="shared" ref="J55:O55" si="81">IF(J42=0,IF(J54="","","*"&amp;TEXT(J54,"0.0x")),(J41+J42-J44)/J47)</f>
        <v>14.261122901311765</v>
      </c>
      <c r="K55" s="41">
        <f t="shared" si="81"/>
        <v>13.625591160831082</v>
      </c>
      <c r="L55" s="41">
        <f t="shared" si="81"/>
        <v>13.11302619839403</v>
      </c>
      <c r="M55" s="41">
        <f t="shared" si="81"/>
        <v>13.953736806992934</v>
      </c>
      <c r="N55" s="41">
        <f t="shared" si="81"/>
        <v>13.417302215966744</v>
      </c>
      <c r="O55" s="41">
        <f t="shared" si="81"/>
        <v>11.04460230893589</v>
      </c>
      <c r="P55" s="41">
        <f t="shared" ref="P55:U55" si="82">IF(P42=0,IF(P54="","","*"&amp;TEXT(P54,"0.0x")),(P41+P42-P44)/P47)</f>
        <v>9.3593792309775239</v>
      </c>
      <c r="Q55" s="41">
        <f t="shared" si="82"/>
        <v>8.6430987108659441</v>
      </c>
      <c r="R55" s="41">
        <f t="shared" si="82"/>
        <v>8.6816377377464686</v>
      </c>
      <c r="S55" s="41">
        <f t="shared" si="82"/>
        <v>8.8448841659122692</v>
      </c>
      <c r="T55" s="41">
        <f t="shared" si="82"/>
        <v>9.1675113267103736</v>
      </c>
      <c r="U55" s="41">
        <f t="shared" si="82"/>
        <v>9.1565755174526693</v>
      </c>
      <c r="V55" s="41" t="str">
        <f>IF(V42=0,IF(V54="","",CONCATENATE("* ",V54,"x")),(V41+V42-V44)/V47)</f>
        <v/>
      </c>
      <c r="W55" s="41" t="str">
        <f>IF(W42=0,IF(W54="","",CONCATENATE("* ",W54,"x")),(W41+W42-W44)/W47)</f>
        <v/>
      </c>
      <c r="X55" s="41" t="str">
        <f>IF(X42=0,IF(X54="","",CONCATENATE("* ",X54,"x")),(X41+X42-X44)/X47)</f>
        <v/>
      </c>
    </row>
    <row r="56" spans="1:24">
      <c r="U56" s="42"/>
    </row>
    <row r="57" spans="1:24" ht="80.25" customHeight="1">
      <c r="A57" s="43" t="s">
        <v>84</v>
      </c>
      <c r="B57" s="44" t="s">
        <v>289</v>
      </c>
      <c r="C57" s="44" t="s">
        <v>289</v>
      </c>
      <c r="D57" s="44" t="s">
        <v>289</v>
      </c>
      <c r="E57" s="44" t="s">
        <v>289</v>
      </c>
      <c r="F57" s="44" t="s">
        <v>289</v>
      </c>
      <c r="G57" s="44" t="s">
        <v>289</v>
      </c>
      <c r="H57" s="44" t="s">
        <v>289</v>
      </c>
      <c r="I57" s="44" t="s">
        <v>289</v>
      </c>
      <c r="J57" s="44" t="s">
        <v>289</v>
      </c>
      <c r="K57" s="44" t="s">
        <v>289</v>
      </c>
      <c r="L57" s="44" t="s">
        <v>289</v>
      </c>
      <c r="M57" s="44" t="s">
        <v>90</v>
      </c>
      <c r="N57" s="44" t="s">
        <v>289</v>
      </c>
      <c r="O57" s="44"/>
      <c r="P57" s="44" t="s">
        <v>90</v>
      </c>
      <c r="Q57" s="44" t="s">
        <v>90</v>
      </c>
      <c r="R57" s="44"/>
      <c r="S57" s="44"/>
      <c r="T57" s="44"/>
      <c r="U57" s="44"/>
      <c r="V57" s="44"/>
      <c r="W57" s="44"/>
      <c r="X57" s="44"/>
    </row>
    <row r="58" spans="1:24">
      <c r="A58" s="45"/>
      <c r="B58" s="42"/>
      <c r="C58" s="42"/>
      <c r="D58" s="42"/>
      <c r="E58" s="42"/>
      <c r="F58" s="42"/>
      <c r="G58" s="42"/>
      <c r="H58" s="42"/>
      <c r="I58" s="42"/>
      <c r="J58" s="42"/>
      <c r="K58" s="42"/>
      <c r="L58" s="42"/>
      <c r="M58" s="42"/>
      <c r="N58" s="42"/>
      <c r="O58" s="42"/>
      <c r="P58" s="42"/>
      <c r="Q58" s="42"/>
    </row>
    <row r="59" spans="1:24">
      <c r="A59" s="45"/>
    </row>
  </sheetData>
  <pageMargins left="0.7" right="0.7" top="0.75" bottom="0.75" header="0.3" footer="0.3"/>
  <pageSetup orientation="portrait" r:id="rId1"/>
  <ignoredErrors>
    <ignoredError sqref="P24:U26 I51:X55 J46:X50 I46:I50 H46:H50 F24:G25" formulaRange="1"/>
  </ignoredErrors>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2:AA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24" width="10.6640625" style="14" customWidth="1"/>
    <col min="25" max="16384" width="9.109375" style="14"/>
  </cols>
  <sheetData>
    <row r="2" spans="1:24">
      <c r="A2" s="13" t="s">
        <v>44</v>
      </c>
      <c r="B2" s="14" t="s">
        <v>31</v>
      </c>
    </row>
    <row r="3" spans="1:24" s="16" customFormat="1">
      <c r="A3" s="15" t="s">
        <v>45</v>
      </c>
      <c r="B3" s="16" t="s">
        <v>100</v>
      </c>
    </row>
    <row r="4" spans="1:24">
      <c r="A4" s="13" t="s">
        <v>2</v>
      </c>
      <c r="B4" s="14" t="s">
        <v>4</v>
      </c>
    </row>
    <row r="5" spans="1:24">
      <c r="A5" s="13" t="s">
        <v>46</v>
      </c>
    </row>
    <row r="6" spans="1:24">
      <c r="A6" s="13" t="s">
        <v>47</v>
      </c>
      <c r="B6" s="14">
        <v>3</v>
      </c>
    </row>
    <row r="7" spans="1:24">
      <c r="A7" s="13" t="s">
        <v>48</v>
      </c>
      <c r="B7" s="14" t="s">
        <v>470</v>
      </c>
    </row>
    <row r="8" spans="1:24">
      <c r="A8" s="13" t="s">
        <v>347</v>
      </c>
      <c r="B8" s="14" t="s">
        <v>469</v>
      </c>
    </row>
    <row r="9" spans="1:24">
      <c r="A9" s="17"/>
    </row>
    <row r="10" spans="1:24">
      <c r="A10" s="17" t="s">
        <v>49</v>
      </c>
      <c r="B10" s="18">
        <v>44286</v>
      </c>
      <c r="C10" s="18">
        <v>44196</v>
      </c>
      <c r="D10" s="18">
        <v>44104</v>
      </c>
      <c r="E10" s="18">
        <v>44012</v>
      </c>
      <c r="F10" s="18">
        <v>43921</v>
      </c>
      <c r="G10" s="18">
        <v>43830</v>
      </c>
      <c r="H10" s="18">
        <v>43738</v>
      </c>
      <c r="I10" s="18">
        <v>43646</v>
      </c>
      <c r="J10" s="18">
        <v>43555</v>
      </c>
      <c r="K10" s="18">
        <v>43465</v>
      </c>
      <c r="L10" s="18">
        <v>43373</v>
      </c>
      <c r="M10" s="18">
        <v>43281</v>
      </c>
      <c r="N10" s="18">
        <v>43190</v>
      </c>
      <c r="O10" s="18">
        <v>43100</v>
      </c>
      <c r="P10" s="18">
        <v>43008</v>
      </c>
      <c r="Q10" s="18">
        <v>42916</v>
      </c>
      <c r="R10" s="18">
        <v>42825</v>
      </c>
      <c r="S10" s="18">
        <v>42735</v>
      </c>
      <c r="T10" s="18">
        <v>42643</v>
      </c>
      <c r="U10" s="18">
        <v>42551</v>
      </c>
      <c r="V10" s="18">
        <v>42460</v>
      </c>
      <c r="W10" s="18">
        <v>42369</v>
      </c>
      <c r="X10" s="18">
        <v>42277</v>
      </c>
    </row>
    <row r="11" spans="1:24">
      <c r="O11" s="48"/>
    </row>
    <row r="12" spans="1:24">
      <c r="A12" s="19" t="s">
        <v>50</v>
      </c>
      <c r="B12" s="20">
        <v>442.93900000000002</v>
      </c>
      <c r="C12" s="20">
        <v>460.09199999999998</v>
      </c>
      <c r="D12" s="20">
        <v>478.70100000000002</v>
      </c>
      <c r="E12" s="20">
        <v>413.488</v>
      </c>
      <c r="F12" s="20">
        <v>385.58</v>
      </c>
      <c r="G12" s="20">
        <f>1432.427-H12-I12-J12</f>
        <v>410.92999999999989</v>
      </c>
      <c r="H12" s="20">
        <v>388.065</v>
      </c>
      <c r="I12" s="20">
        <v>329.39</v>
      </c>
      <c r="J12" s="20">
        <v>304.04199999999997</v>
      </c>
      <c r="K12" s="20">
        <f>1288.74-L12-M12-N12</f>
        <v>333.36700000000002</v>
      </c>
      <c r="L12" s="20">
        <v>313.72500000000002</v>
      </c>
      <c r="M12" s="20">
        <v>307.62099999999998</v>
      </c>
      <c r="N12" s="20">
        <v>334.02699999999999</v>
      </c>
      <c r="O12" s="20">
        <f>1142.656-R12-Q12-P12</f>
        <v>306.33599999999996</v>
      </c>
      <c r="P12" s="20">
        <v>325.90199999999999</v>
      </c>
      <c r="Q12" s="20">
        <v>256.49900000000002</v>
      </c>
      <c r="R12" s="20">
        <v>253.91900000000001</v>
      </c>
      <c r="S12" s="20">
        <v>278.01799999999997</v>
      </c>
      <c r="T12" s="20">
        <v>237.16800000000001</v>
      </c>
      <c r="U12" s="20">
        <v>226.96700000000001</v>
      </c>
      <c r="V12" s="20">
        <v>223.935</v>
      </c>
      <c r="W12" s="20">
        <f>897.327-T12-U12-V12</f>
        <v>209.25700000000001</v>
      </c>
      <c r="X12" s="20">
        <v>212.29400000000001</v>
      </c>
    </row>
    <row r="13" spans="1:24" s="21" customFormat="1">
      <c r="A13" s="21" t="s">
        <v>51</v>
      </c>
      <c r="B13" s="21">
        <f t="shared" ref="B13:T13" si="0">+B12/F12-1</f>
        <v>0.1487603091446652</v>
      </c>
      <c r="C13" s="21">
        <f t="shared" si="0"/>
        <v>0.11963594772832375</v>
      </c>
      <c r="D13" s="21">
        <f t="shared" si="0"/>
        <v>0.23355881102392639</v>
      </c>
      <c r="E13" s="21">
        <f t="shared" si="0"/>
        <v>0.25531436898509363</v>
      </c>
      <c r="F13" s="21">
        <f t="shared" si="0"/>
        <v>0.26818005407147694</v>
      </c>
      <c r="G13" s="21">
        <f t="shared" si="0"/>
        <v>0.23266550078442028</v>
      </c>
      <c r="H13" s="21">
        <f t="shared" si="0"/>
        <v>0.2369591202486252</v>
      </c>
      <c r="I13" s="21">
        <f t="shared" si="0"/>
        <v>7.0765649939373398E-2</v>
      </c>
      <c r="J13" s="21">
        <f t="shared" si="0"/>
        <v>-8.9768192391633028E-2</v>
      </c>
      <c r="K13" s="21">
        <f t="shared" si="0"/>
        <v>8.8239710644521185E-2</v>
      </c>
      <c r="L13" s="21">
        <f t="shared" si="0"/>
        <v>-3.7363992856748185E-2</v>
      </c>
      <c r="M13" s="21">
        <f t="shared" si="0"/>
        <v>0.19930681990962906</v>
      </c>
      <c r="N13" s="21">
        <f t="shared" si="0"/>
        <v>0.31548643465041981</v>
      </c>
      <c r="O13" s="21">
        <f t="shared" si="0"/>
        <v>0.10185671431346166</v>
      </c>
      <c r="P13" s="21">
        <f t="shared" si="0"/>
        <v>0.37413985023274621</v>
      </c>
      <c r="Q13" s="21">
        <f t="shared" si="0"/>
        <v>0.13011583181696018</v>
      </c>
      <c r="R13" s="21">
        <f t="shared" si="0"/>
        <v>0.13389599660615814</v>
      </c>
      <c r="S13" s="21">
        <f t="shared" si="0"/>
        <v>0.32859593705347945</v>
      </c>
      <c r="T13" s="21">
        <f t="shared" si="0"/>
        <v>0.1171677013952348</v>
      </c>
    </row>
    <row r="14" spans="1:24"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t="s">
        <v>3</v>
      </c>
      <c r="P14" s="23" t="s">
        <v>3</v>
      </c>
      <c r="Q14" s="23" t="s">
        <v>3</v>
      </c>
      <c r="R14" s="23" t="s">
        <v>3</v>
      </c>
      <c r="S14" s="23" t="s">
        <v>3</v>
      </c>
      <c r="T14" s="23" t="s">
        <v>3</v>
      </c>
      <c r="U14" s="22"/>
      <c r="V14" s="22"/>
      <c r="W14" s="22"/>
      <c r="X14" s="22"/>
    </row>
    <row r="16" spans="1:24" s="17" customFormat="1">
      <c r="A16" s="25" t="s">
        <v>53</v>
      </c>
      <c r="B16" s="26">
        <f t="shared" ref="B16" si="1">B22-B21-B20-B19</f>
        <v>55.665999999999997</v>
      </c>
      <c r="C16" s="26">
        <f t="shared" ref="C16" si="2">C22-C21-C20-C19</f>
        <v>75.546999999999997</v>
      </c>
      <c r="D16" s="26">
        <f t="shared" ref="D16:F16" si="3">D22-D21-D20-D19</f>
        <v>88.746999999999986</v>
      </c>
      <c r="E16" s="26">
        <f t="shared" si="3"/>
        <v>58.900000000000013</v>
      </c>
      <c r="F16" s="26">
        <f t="shared" si="3"/>
        <v>36.324999999999996</v>
      </c>
      <c r="G16" s="26">
        <f t="shared" ref="G16:H16" si="4">G22-G21-G20-G19</f>
        <v>41.76</v>
      </c>
      <c r="H16" s="26">
        <f t="shared" si="4"/>
        <v>52.036000000000001</v>
      </c>
      <c r="I16" s="26">
        <f t="shared" ref="I16:P16" si="5">I22-I21-I20-I19</f>
        <v>46.499000000000002</v>
      </c>
      <c r="J16" s="26">
        <f t="shared" si="5"/>
        <v>34.194999999999993</v>
      </c>
      <c r="K16" s="26">
        <f t="shared" si="5"/>
        <v>49.094000000000001</v>
      </c>
      <c r="L16" s="26">
        <f t="shared" si="5"/>
        <v>39.756</v>
      </c>
      <c r="M16" s="26">
        <f t="shared" si="5"/>
        <v>41.076999999999998</v>
      </c>
      <c r="N16" s="26">
        <f t="shared" si="5"/>
        <v>55.308</v>
      </c>
      <c r="O16" s="26">
        <f t="shared" si="5"/>
        <v>35.903999999999996</v>
      </c>
      <c r="P16" s="26">
        <f t="shared" si="5"/>
        <v>58.48299999999999</v>
      </c>
      <c r="Q16" s="26">
        <v>30.414999999999999</v>
      </c>
      <c r="R16" s="26">
        <v>4.0780000000000003</v>
      </c>
      <c r="S16" s="26">
        <v>35.795999999999999</v>
      </c>
      <c r="T16" s="26">
        <v>28.957000000000001</v>
      </c>
      <c r="U16" s="26">
        <v>28.902999999999999</v>
      </c>
      <c r="V16" s="26">
        <v>46.515999999999998</v>
      </c>
      <c r="W16" s="26">
        <f>128.115-T16-U16-V16</f>
        <v>23.739000000000026</v>
      </c>
      <c r="X16" s="26"/>
    </row>
    <row r="17" spans="1:24" s="21" customFormat="1">
      <c r="A17" s="21" t="s">
        <v>54</v>
      </c>
      <c r="B17" s="21">
        <f t="shared" ref="B17" si="6">+B16/B12</f>
        <v>0.12567418989973789</v>
      </c>
      <c r="C17" s="21">
        <f t="shared" ref="C17:D17" si="7">+C16/C12</f>
        <v>0.16419976874190378</v>
      </c>
      <c r="D17" s="21">
        <f t="shared" si="7"/>
        <v>0.18539129853499361</v>
      </c>
      <c r="E17" s="21">
        <f t="shared" ref="E17:F17" si="8">+E16/E12</f>
        <v>0.14244669736485704</v>
      </c>
      <c r="F17" s="21">
        <f t="shared" si="8"/>
        <v>9.4208724518906578E-2</v>
      </c>
      <c r="G17" s="21">
        <f t="shared" ref="G17:H17" si="9">+G16/G12</f>
        <v>0.10162314749470715</v>
      </c>
      <c r="H17" s="21">
        <f t="shared" si="9"/>
        <v>0.13409093837372604</v>
      </c>
      <c r="I17" s="21">
        <f t="shared" ref="I17:K17" si="10">+I16/I12</f>
        <v>0.14116700567716081</v>
      </c>
      <c r="J17" s="21">
        <f t="shared" si="10"/>
        <v>0.11246801428749974</v>
      </c>
      <c r="K17" s="21">
        <f t="shared" si="10"/>
        <v>0.14726712602027195</v>
      </c>
      <c r="L17" s="21">
        <f t="shared" ref="L17:W17" si="11">+L16/L12</f>
        <v>0.12672244800382501</v>
      </c>
      <c r="M17" s="21">
        <f t="shared" si="11"/>
        <v>0.13353119585463932</v>
      </c>
      <c r="N17" s="21">
        <f t="shared" si="11"/>
        <v>0.16557942920781854</v>
      </c>
      <c r="O17" s="21">
        <f t="shared" si="11"/>
        <v>0.11720463804450017</v>
      </c>
      <c r="P17" s="21">
        <f t="shared" si="11"/>
        <v>0.17944965050843503</v>
      </c>
      <c r="Q17" s="21">
        <f t="shared" si="11"/>
        <v>0.11857746034097598</v>
      </c>
      <c r="R17" s="21">
        <f t="shared" si="11"/>
        <v>1.6060239682733471E-2</v>
      </c>
      <c r="S17" s="21">
        <f t="shared" si="11"/>
        <v>0.12875425332172738</v>
      </c>
      <c r="T17" s="21">
        <f t="shared" si="11"/>
        <v>0.12209488632530527</v>
      </c>
      <c r="U17" s="21">
        <f t="shared" si="11"/>
        <v>0.12734450382654747</v>
      </c>
      <c r="V17" s="21">
        <f t="shared" si="11"/>
        <v>0.20772099046598341</v>
      </c>
      <c r="W17" s="21">
        <f t="shared" si="11"/>
        <v>0.11344423364570851</v>
      </c>
    </row>
    <row r="18" spans="1:24" s="24" customFormat="1"/>
    <row r="19" spans="1:24"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f>9.622-S19-R19-Q19</f>
        <v>-0.70000000000000018</v>
      </c>
      <c r="Q19" s="20">
        <v>8.5000000000000006E-2</v>
      </c>
      <c r="R19" s="20">
        <v>9.8810000000000002</v>
      </c>
      <c r="S19" s="20">
        <v>0.35599999999999998</v>
      </c>
      <c r="T19" s="20">
        <v>4.3999999999999997E-2</v>
      </c>
      <c r="U19" s="20">
        <v>0</v>
      </c>
      <c r="V19" s="20">
        <v>0</v>
      </c>
      <c r="W19" s="20">
        <v>1.0999999999999999E-2</v>
      </c>
      <c r="X19" s="20"/>
    </row>
    <row r="20" spans="1:24"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f>0-S20-R20-Q20</f>
        <v>0</v>
      </c>
      <c r="Q20" s="20">
        <v>0</v>
      </c>
      <c r="R20" s="20">
        <v>0</v>
      </c>
      <c r="S20" s="20">
        <v>0</v>
      </c>
      <c r="T20" s="20">
        <v>0</v>
      </c>
      <c r="U20" s="20">
        <v>0</v>
      </c>
      <c r="V20" s="20">
        <v>0</v>
      </c>
      <c r="W20" s="20">
        <v>0</v>
      </c>
      <c r="X20" s="20"/>
    </row>
    <row r="21" spans="1:24" s="24" customFormat="1">
      <c r="A21" s="19" t="s">
        <v>57</v>
      </c>
      <c r="B21" s="20">
        <v>0</v>
      </c>
      <c r="C21" s="20">
        <v>0</v>
      </c>
      <c r="D21" s="20">
        <v>0</v>
      </c>
      <c r="E21" s="20">
        <v>0</v>
      </c>
      <c r="F21" s="20">
        <v>4.4020000000000001</v>
      </c>
      <c r="G21" s="20">
        <v>17.905999999999999</v>
      </c>
      <c r="H21" s="20">
        <v>-6.4459999999999997</v>
      </c>
      <c r="I21" s="20">
        <v>-1.927</v>
      </c>
      <c r="J21" s="20">
        <v>8.6690000000000005</v>
      </c>
      <c r="K21" s="20">
        <v>13.473000000000001</v>
      </c>
      <c r="L21" s="20">
        <v>3.464</v>
      </c>
      <c r="M21" s="20">
        <v>0.49299999999999999</v>
      </c>
      <c r="N21" s="20">
        <v>3.4990000000000001</v>
      </c>
      <c r="O21" s="20">
        <v>4.3319999999999999</v>
      </c>
      <c r="P21" s="20">
        <f>16.075-S21-R21-Q21</f>
        <v>11.983000000000001</v>
      </c>
      <c r="Q21" s="20">
        <f>Q22-Q20-Q19-Q16</f>
        <v>4.0919999999999987</v>
      </c>
      <c r="R21" s="20">
        <v>0</v>
      </c>
      <c r="S21" s="20">
        <v>0</v>
      </c>
      <c r="T21" s="20">
        <v>0</v>
      </c>
      <c r="U21" s="20">
        <v>0</v>
      </c>
      <c r="V21" s="20">
        <v>0</v>
      </c>
      <c r="W21" s="20">
        <v>0</v>
      </c>
      <c r="X21" s="20"/>
    </row>
    <row r="22" spans="1:24" s="17" customFormat="1">
      <c r="A22" s="17" t="s">
        <v>58</v>
      </c>
      <c r="B22" s="156">
        <v>55.665999999999997</v>
      </c>
      <c r="C22" s="156">
        <v>75.546999999999997</v>
      </c>
      <c r="D22" s="156">
        <f>D24-G22-F22-E22</f>
        <v>88.746999999999986</v>
      </c>
      <c r="E22" s="156">
        <f>E24-H22-G22-F22</f>
        <v>58.900000000000013</v>
      </c>
      <c r="F22" s="46">
        <v>40.726999999999997</v>
      </c>
      <c r="G22" s="46">
        <v>59.665999999999997</v>
      </c>
      <c r="H22" s="46">
        <v>45.59</v>
      </c>
      <c r="I22" s="46">
        <v>44.572000000000003</v>
      </c>
      <c r="J22" s="46">
        <v>42.863999999999997</v>
      </c>
      <c r="K22" s="46">
        <v>62.567</v>
      </c>
      <c r="L22" s="46">
        <v>43.22</v>
      </c>
      <c r="M22" s="46">
        <v>41.57</v>
      </c>
      <c r="N22" s="46">
        <v>58.807000000000002</v>
      </c>
      <c r="O22" s="46">
        <v>40.235999999999997</v>
      </c>
      <c r="P22" s="46">
        <f>177.844-S22-R22-Q22</f>
        <v>69.765999999999991</v>
      </c>
      <c r="Q22" s="46">
        <v>34.591999999999999</v>
      </c>
      <c r="R22" s="46">
        <v>30.835999999999999</v>
      </c>
      <c r="S22" s="46">
        <v>42.65</v>
      </c>
      <c r="T22" s="46">
        <v>32.439</v>
      </c>
      <c r="U22" s="46">
        <v>28.541</v>
      </c>
      <c r="V22" s="46">
        <v>29.277999999999999</v>
      </c>
      <c r="W22" s="46">
        <f>114.094-T22-U22-V22</f>
        <v>23.836000000000006</v>
      </c>
      <c r="X22" s="27"/>
    </row>
    <row r="23" spans="1:24" s="17" customFormat="1">
      <c r="B23" s="21"/>
      <c r="C23" s="21"/>
      <c r="D23" s="21"/>
      <c r="E23" s="21"/>
      <c r="F23" s="21"/>
      <c r="G23" s="21"/>
      <c r="H23" s="21"/>
      <c r="I23" s="134"/>
      <c r="J23" s="21"/>
      <c r="K23" s="21"/>
      <c r="L23" s="21"/>
      <c r="M23" s="27"/>
      <c r="N23" s="27"/>
      <c r="O23" s="27"/>
      <c r="P23" s="27"/>
      <c r="Q23" s="27"/>
      <c r="R23" s="27"/>
      <c r="S23" s="27"/>
      <c r="T23" s="27"/>
      <c r="U23" s="27"/>
      <c r="V23" s="27"/>
      <c r="W23" s="27"/>
      <c r="X23" s="27"/>
    </row>
    <row r="24" spans="1:24" s="17" customFormat="1">
      <c r="A24" s="17" t="s">
        <v>59</v>
      </c>
      <c r="B24" s="65">
        <f>SUM(B22:E22)</f>
        <v>278.86</v>
      </c>
      <c r="C24" s="65">
        <f>SUM(C22:F22)</f>
        <v>263.92099999999999</v>
      </c>
      <c r="D24" s="46">
        <v>248.04</v>
      </c>
      <c r="E24" s="46">
        <v>204.88300000000001</v>
      </c>
      <c r="F24" s="27">
        <f t="shared" ref="F24:U24" si="12">SUM(F22:I22)</f>
        <v>190.55500000000001</v>
      </c>
      <c r="G24" s="27">
        <f t="shared" si="12"/>
        <v>192.69200000000001</v>
      </c>
      <c r="H24" s="27">
        <f t="shared" si="12"/>
        <v>195.59300000000002</v>
      </c>
      <c r="I24" s="27">
        <f t="shared" si="12"/>
        <v>193.22300000000001</v>
      </c>
      <c r="J24" s="27">
        <f t="shared" si="12"/>
        <v>190.221</v>
      </c>
      <c r="K24" s="27">
        <f t="shared" si="12"/>
        <v>206.16399999999999</v>
      </c>
      <c r="L24" s="27">
        <f t="shared" si="12"/>
        <v>183.83299999999997</v>
      </c>
      <c r="M24" s="27">
        <f t="shared" si="12"/>
        <v>210.37899999999999</v>
      </c>
      <c r="N24" s="27">
        <f t="shared" si="12"/>
        <v>203.40100000000001</v>
      </c>
      <c r="O24" s="27">
        <f t="shared" si="12"/>
        <v>175.43</v>
      </c>
      <c r="P24" s="27">
        <f t="shared" si="12"/>
        <v>177.84399999999999</v>
      </c>
      <c r="Q24" s="27">
        <f t="shared" si="12"/>
        <v>140.517</v>
      </c>
      <c r="R24" s="27">
        <f t="shared" si="12"/>
        <v>134.46599999999998</v>
      </c>
      <c r="S24" s="27">
        <f t="shared" si="12"/>
        <v>132.90799999999999</v>
      </c>
      <c r="T24" s="27">
        <f t="shared" si="12"/>
        <v>114.09400000000002</v>
      </c>
      <c r="U24" s="27">
        <f t="shared" si="12"/>
        <v>81.655000000000001</v>
      </c>
      <c r="V24" s="27"/>
      <c r="W24" s="27"/>
      <c r="X24" s="27"/>
    </row>
    <row r="25" spans="1:24" s="24" customFormat="1">
      <c r="A25" s="19" t="s">
        <v>60</v>
      </c>
      <c r="B25" s="28">
        <v>0</v>
      </c>
      <c r="C25" s="28">
        <v>0</v>
      </c>
      <c r="D25" s="28">
        <v>0</v>
      </c>
      <c r="E25" s="28">
        <v>0</v>
      </c>
      <c r="F25" s="28">
        <v>0</v>
      </c>
      <c r="G25" s="28">
        <v>0</v>
      </c>
      <c r="H25" s="28">
        <v>0</v>
      </c>
      <c r="I25" s="28">
        <v>0</v>
      </c>
      <c r="J25" s="28">
        <f>188.895-J24</f>
        <v>-1.3259999999999934</v>
      </c>
      <c r="K25" s="28">
        <f>207.515-K24</f>
        <v>1.3509999999999991</v>
      </c>
      <c r="L25" s="28">
        <v>0</v>
      </c>
      <c r="M25" s="28">
        <v>0</v>
      </c>
      <c r="N25" s="28">
        <v>0</v>
      </c>
      <c r="O25" s="28">
        <v>0</v>
      </c>
      <c r="P25" s="28">
        <v>0</v>
      </c>
      <c r="Q25" s="28">
        <v>0</v>
      </c>
      <c r="R25" s="28">
        <v>0</v>
      </c>
      <c r="S25" s="28">
        <v>0</v>
      </c>
      <c r="T25" s="28">
        <v>0</v>
      </c>
      <c r="U25" s="28">
        <v>0</v>
      </c>
      <c r="V25" s="28">
        <v>0</v>
      </c>
      <c r="W25" s="28"/>
      <c r="X25" s="28"/>
    </row>
    <row r="26" spans="1:24" s="24" customFormat="1">
      <c r="A26" s="19" t="s">
        <v>61</v>
      </c>
      <c r="B26" s="29">
        <f>286.721-B25-B24</f>
        <v>7.86099999999999</v>
      </c>
      <c r="C26" s="29">
        <f>271.066-C25-C24</f>
        <v>7.1449999999999818</v>
      </c>
      <c r="D26" s="29">
        <f>248.04-D25-D24</f>
        <v>0</v>
      </c>
      <c r="E26" s="29">
        <f>204.883-E25-E24</f>
        <v>0</v>
      </c>
      <c r="F26" s="29">
        <f>191.397-F25-F24</f>
        <v>0.84199999999998454</v>
      </c>
      <c r="G26" s="29">
        <f>H26</f>
        <v>13.716999999999985</v>
      </c>
      <c r="H26" s="29">
        <f>I26</f>
        <v>13.716999999999985</v>
      </c>
      <c r="I26" s="29">
        <f>J26</f>
        <v>13.716999999999985</v>
      </c>
      <c r="J26" s="29">
        <f>202.612-J25-J24</f>
        <v>13.716999999999985</v>
      </c>
      <c r="K26" s="29">
        <v>0</v>
      </c>
      <c r="L26" s="29">
        <v>0</v>
      </c>
      <c r="M26" s="29">
        <v>0</v>
      </c>
      <c r="N26" s="29">
        <v>0</v>
      </c>
      <c r="O26" s="29">
        <v>0</v>
      </c>
      <c r="P26" s="29">
        <v>0</v>
      </c>
      <c r="Q26" s="29">
        <v>0</v>
      </c>
      <c r="R26" s="29">
        <v>0</v>
      </c>
      <c r="S26" s="29">
        <v>0</v>
      </c>
      <c r="T26" s="29">
        <v>0</v>
      </c>
      <c r="U26" s="29">
        <v>0</v>
      </c>
      <c r="V26" s="30"/>
      <c r="W26" s="30"/>
      <c r="X26" s="30"/>
    </row>
    <row r="27" spans="1:24" s="32" customFormat="1">
      <c r="A27" s="17" t="s">
        <v>62</v>
      </c>
      <c r="B27" s="27">
        <f t="shared" ref="B27" si="13">SUM(B24:B26)</f>
        <v>286.721</v>
      </c>
      <c r="C27" s="27">
        <f t="shared" ref="C27" si="14">SUM(C24:C26)</f>
        <v>271.06599999999997</v>
      </c>
      <c r="D27" s="27">
        <f t="shared" ref="D27:E27" si="15">SUM(D24:D26)</f>
        <v>248.04</v>
      </c>
      <c r="E27" s="27">
        <f t="shared" si="15"/>
        <v>204.88300000000001</v>
      </c>
      <c r="F27" s="27">
        <f t="shared" ref="F27:U27" si="16">SUM(F24:F26)</f>
        <v>191.39699999999999</v>
      </c>
      <c r="G27" s="27">
        <f t="shared" si="16"/>
        <v>206.40899999999999</v>
      </c>
      <c r="H27" s="27">
        <f t="shared" si="16"/>
        <v>209.31</v>
      </c>
      <c r="I27" s="27">
        <f t="shared" si="16"/>
        <v>206.94</v>
      </c>
      <c r="J27" s="27">
        <f t="shared" si="16"/>
        <v>202.61199999999999</v>
      </c>
      <c r="K27" s="27">
        <f t="shared" si="16"/>
        <v>207.51499999999999</v>
      </c>
      <c r="L27" s="27">
        <f t="shared" si="16"/>
        <v>183.83299999999997</v>
      </c>
      <c r="M27" s="27">
        <f t="shared" si="16"/>
        <v>210.37899999999999</v>
      </c>
      <c r="N27" s="27">
        <f t="shared" si="16"/>
        <v>203.40100000000001</v>
      </c>
      <c r="O27" s="27">
        <f t="shared" si="16"/>
        <v>175.43</v>
      </c>
      <c r="P27" s="27">
        <f t="shared" si="16"/>
        <v>177.84399999999999</v>
      </c>
      <c r="Q27" s="27">
        <f t="shared" si="16"/>
        <v>140.517</v>
      </c>
      <c r="R27" s="27">
        <f t="shared" si="16"/>
        <v>134.46599999999998</v>
      </c>
      <c r="S27" s="27">
        <f t="shared" si="16"/>
        <v>132.90799999999999</v>
      </c>
      <c r="T27" s="27">
        <f t="shared" si="16"/>
        <v>114.09400000000002</v>
      </c>
      <c r="U27" s="27">
        <f t="shared" si="16"/>
        <v>81.655000000000001</v>
      </c>
      <c r="V27" s="31"/>
      <c r="W27" s="31"/>
      <c r="X27" s="31"/>
    </row>
    <row r="28" spans="1:24" s="24" customFormat="1"/>
    <row r="29" spans="1:24" s="17" customFormat="1">
      <c r="A29" s="17" t="s">
        <v>58</v>
      </c>
      <c r="B29" s="54">
        <f t="shared" ref="B29" si="17">B22</f>
        <v>55.665999999999997</v>
      </c>
      <c r="C29" s="54">
        <f t="shared" ref="C29" si="18">C22</f>
        <v>75.546999999999997</v>
      </c>
      <c r="D29" s="54">
        <f t="shared" ref="D29:E29" si="19">D22</f>
        <v>88.746999999999986</v>
      </c>
      <c r="E29" s="54">
        <f t="shared" si="19"/>
        <v>58.900000000000013</v>
      </c>
      <c r="F29" s="27">
        <f t="shared" ref="F29:N29" si="20">F22</f>
        <v>40.726999999999997</v>
      </c>
      <c r="G29" s="27">
        <f t="shared" si="20"/>
        <v>59.665999999999997</v>
      </c>
      <c r="H29" s="27">
        <f t="shared" si="20"/>
        <v>45.59</v>
      </c>
      <c r="I29" s="27">
        <f t="shared" si="20"/>
        <v>44.572000000000003</v>
      </c>
      <c r="J29" s="27">
        <f t="shared" si="20"/>
        <v>42.863999999999997</v>
      </c>
      <c r="K29" s="27">
        <f t="shared" si="20"/>
        <v>62.567</v>
      </c>
      <c r="L29" s="27">
        <f t="shared" si="20"/>
        <v>43.22</v>
      </c>
      <c r="M29" s="27">
        <f t="shared" si="20"/>
        <v>41.57</v>
      </c>
      <c r="N29" s="27">
        <f t="shared" si="20"/>
        <v>58.807000000000002</v>
      </c>
      <c r="O29" s="27">
        <f t="shared" ref="O29:W29" si="21">O22</f>
        <v>40.235999999999997</v>
      </c>
      <c r="P29" s="27">
        <f t="shared" si="21"/>
        <v>69.765999999999991</v>
      </c>
      <c r="Q29" s="27">
        <f t="shared" si="21"/>
        <v>34.591999999999999</v>
      </c>
      <c r="R29" s="27">
        <f t="shared" si="21"/>
        <v>30.835999999999999</v>
      </c>
      <c r="S29" s="27">
        <f t="shared" si="21"/>
        <v>42.65</v>
      </c>
      <c r="T29" s="27">
        <f t="shared" si="21"/>
        <v>32.439</v>
      </c>
      <c r="U29" s="27">
        <f t="shared" si="21"/>
        <v>28.541</v>
      </c>
      <c r="V29" s="27">
        <f t="shared" si="21"/>
        <v>29.277999999999999</v>
      </c>
      <c r="W29" s="27">
        <f t="shared" si="21"/>
        <v>23.836000000000006</v>
      </c>
      <c r="X29" s="27"/>
    </row>
    <row r="30" spans="1:24" s="33" customFormat="1">
      <c r="A30" s="20" t="s">
        <v>63</v>
      </c>
      <c r="B30" s="20">
        <f>-34.447+2.802</f>
        <v>-31.645000000000003</v>
      </c>
      <c r="C30" s="20">
        <f>-1.22-59.781+0.049+7.063-D30-E30-F30</f>
        <v>-10.393000000000001</v>
      </c>
      <c r="D30" s="20">
        <f>-45.803+2.307-E30-F30</f>
        <v>-18.998999999999995</v>
      </c>
      <c r="E30" s="20">
        <f>-25.922+1.425-F30</f>
        <v>-11.797000000000001</v>
      </c>
      <c r="F30" s="20">
        <f>-13.414+0.714</f>
        <v>-12.7</v>
      </c>
      <c r="G30" s="20">
        <f>-71.88+3.171-H30-I30-J30</f>
        <v>-13.124999999999989</v>
      </c>
      <c r="H30" s="20">
        <f>-57.934+2.35-I30-J30</f>
        <v>-29.801000000000002</v>
      </c>
      <c r="I30" s="20">
        <f>-27.688+1.905-J30</f>
        <v>-12.660999999999998</v>
      </c>
      <c r="J30" s="20">
        <f>-14.011+0.889</f>
        <v>-13.122</v>
      </c>
      <c r="K30" s="20">
        <f>-58.228+3.254-L30-M30-N30</f>
        <v>-22.575000000000003</v>
      </c>
      <c r="L30" s="20">
        <f>-34.702+2.303-M30-N30</f>
        <v>-12.864000000000004</v>
      </c>
      <c r="M30" s="20">
        <f>-20.955+1.42-N30</f>
        <v>-12.780999999999995</v>
      </c>
      <c r="N30" s="20">
        <f>-7.272+0.518</f>
        <v>-6.7540000000000004</v>
      </c>
      <c r="O30" s="20">
        <f>-22.667-4.104-P30-Q30-R30</f>
        <v>-4.4570000000000016</v>
      </c>
      <c r="P30" s="20">
        <f>-20.247-4.521+1.948+0.506-Q30-R30</f>
        <v>-7.1519999999999984</v>
      </c>
      <c r="Q30" s="20">
        <f>-12.271-4.521+1.124+0.506-R30</f>
        <v>-8.958000000000002</v>
      </c>
      <c r="R30" s="20">
        <f>-2.468-4.521+0.279+0.506</f>
        <v>-6.2039999999999997</v>
      </c>
      <c r="S30" s="20">
        <v>-7.7510000000000003</v>
      </c>
      <c r="T30" s="20">
        <v>-7.3879999999999999</v>
      </c>
      <c r="U30" s="20">
        <v>-6.3239999999999998</v>
      </c>
      <c r="V30" s="20">
        <v>-8.1560000000000006</v>
      </c>
      <c r="W30" s="20">
        <v>-8.9529999999999994</v>
      </c>
      <c r="X30" s="20">
        <v>-8.1910000000000007</v>
      </c>
    </row>
    <row r="31" spans="1:24" s="33" customFormat="1">
      <c r="A31" s="20" t="s">
        <v>64</v>
      </c>
      <c r="B31" s="20">
        <f>-0.402-4.002</f>
        <v>-4.4039999999999999</v>
      </c>
      <c r="C31" s="20">
        <f>-20.908+0.151+0.813-19.595-D31-F31-E31</f>
        <v>-5.6640000000000015</v>
      </c>
      <c r="D31" s="20">
        <f>-14.782-19.093-E31-F31</f>
        <v>-18.850999999999999</v>
      </c>
      <c r="E31" s="20">
        <f>-0.954-14.07-F31</f>
        <v>-13.247</v>
      </c>
      <c r="F31" s="20">
        <f>5.578-7.355</f>
        <v>-1.7770000000000001</v>
      </c>
      <c r="G31" s="20">
        <f>-2.758-4.577-H31-I31-J31</f>
        <v>-1.9699999999999989</v>
      </c>
      <c r="H31" s="20">
        <f>0.349-5.714-I31-J31</f>
        <v>4.645999999999999</v>
      </c>
      <c r="I31" s="20">
        <f>0.057-10.068-J31</f>
        <v>-3.7799999999999994</v>
      </c>
      <c r="J31" s="20">
        <f>1.312-7.543</f>
        <v>-6.2309999999999999</v>
      </c>
      <c r="K31" s="20">
        <f>-16.928-11.916-L31-M31-N31</f>
        <v>-10.029</v>
      </c>
      <c r="L31" s="20">
        <f>-13.625-5.19-M31-N31</f>
        <v>-4.471000000000001</v>
      </c>
      <c r="M31" s="20">
        <f>-8.844-5.5-N31</f>
        <v>-7.1689999999999996</v>
      </c>
      <c r="N31" s="20">
        <f>-7.228+0.053</f>
        <v>-7.1749999999999998</v>
      </c>
      <c r="O31" s="20">
        <f>41.991+4.905-63.816-9.111-P31-Q31-R31</f>
        <v>-5.511000000000001</v>
      </c>
      <c r="P31" s="20">
        <f>-11.509+4.905-4.805-9.111-Q31-R31</f>
        <v>-9.4189999999999987</v>
      </c>
      <c r="Q31" s="20">
        <f>-3.86+4.905-3.035-9.111-R31</f>
        <v>-4.9640000000000004</v>
      </c>
      <c r="R31" s="20">
        <f>-1.931+4.905-9.111</f>
        <v>-6.1370000000000005</v>
      </c>
      <c r="S31" s="20">
        <v>-8.3659999999999997</v>
      </c>
      <c r="T31" s="20">
        <v>-5.0670000000000002</v>
      </c>
      <c r="U31" s="20">
        <v>-3.1880000000000002</v>
      </c>
      <c r="V31" s="20">
        <v>-10.502000000000001</v>
      </c>
      <c r="W31" s="20">
        <v>-1.3160000000000001</v>
      </c>
      <c r="X31" s="20">
        <v>-1.097</v>
      </c>
    </row>
    <row r="32" spans="1:24" s="33" customFormat="1">
      <c r="A32" s="20" t="s">
        <v>65</v>
      </c>
      <c r="B32" s="20">
        <f>20.673-5.355-0.733-17.149+10.992+0.766</f>
        <v>9.1939999999999973</v>
      </c>
      <c r="C32" s="20">
        <f>-14.502+26.028-0.879-23.679+0.117+16.098-37.001+1.9+146.034+57.776+1.874-D32-E32-F32</f>
        <v>14.937000000000001</v>
      </c>
      <c r="D32" s="20">
        <f>-20.643-43.423+12.926+157.569+47.565+4.835-E32-F32</f>
        <v>151.58099999999999</v>
      </c>
      <c r="E32" s="20">
        <f>22.608-16.32+3.737-13.581+8.793+2.011-F32</f>
        <v>-8.8569999999999958</v>
      </c>
      <c r="F32" s="20">
        <f>40.224-5.721+0.333+1.906-11.258-9.379</f>
        <v>16.104999999999997</v>
      </c>
      <c r="G32" s="20">
        <f>-33.474-14.566-6.711+18.626+11.843+1.597-H32-I32-J32</f>
        <v>-18.388999999999996</v>
      </c>
      <c r="H32" s="20">
        <f>11.382-17.481-8.695+2.324+4.482+3.692-I32-J32</f>
        <v>-4.3020000000000032</v>
      </c>
      <c r="I32" s="20">
        <f>-4.962+6.064-5.71+5.059-1.674+1.229-J32</f>
        <v>-26.060999999999996</v>
      </c>
      <c r="J32" s="20">
        <f>20.787-1.056-0.825+1.316+5.845</f>
        <v>26.066999999999997</v>
      </c>
      <c r="K32" s="20">
        <f>19.45+22.808+1.928-10.487+5.102-L32-M32-N32</f>
        <v>11.023999999999987</v>
      </c>
      <c r="L32" s="20">
        <f>30.133+7.407-7.043+3.771-6.491-M32-N32</f>
        <v>7.9940000000000069</v>
      </c>
      <c r="M32" s="20">
        <f>31.851-1.07-0.164+2.546-13.38-N32</f>
        <v>46.073999999999991</v>
      </c>
      <c r="N32" s="20">
        <f>10.266-22.79-2.21+0.604-12.161</f>
        <v>-26.290999999999997</v>
      </c>
      <c r="O32" s="20">
        <f>-41.878-3.478-10.924-11.128-8.14+2.599+12.96+6.734+1.426+0.311-P32-Q32-R32</f>
        <v>7.2429999999999897</v>
      </c>
      <c r="P32" s="20">
        <f>-32.488-37.907-7.222+3.252+20.566-3.478-11.128+2.599+0.311+6.734-Q32-R32</f>
        <v>-53.796999999999983</v>
      </c>
      <c r="Q32" s="20">
        <f>-0.777+6.276-1.623+1.309-5.187-3.478-11.128+2.599+0.311+6.734-R32</f>
        <v>11.650000000000004</v>
      </c>
      <c r="R32" s="20">
        <f>-1.106-3.354+2.669+0.487-10.348-3.478-11.128+2.599+0.311+6.734</f>
        <v>-16.614000000000004</v>
      </c>
      <c r="S32" s="20">
        <f>-18.295-10.141-2.84+4.59-0.022-T32</f>
        <v>-13.001999999999999</v>
      </c>
      <c r="T32" s="20">
        <f>-6.234-14.166-0.608+7.397-0.095</f>
        <v>-13.706</v>
      </c>
      <c r="U32" s="20"/>
      <c r="V32" s="20"/>
      <c r="W32" s="20">
        <f>-3.501+0.909+0.727+6.105+4.925-X32</f>
        <v>16.939</v>
      </c>
      <c r="X32" s="20">
        <f>-17.052-0.196+17.804-9.059+0.729</f>
        <v>-7.7740000000000018</v>
      </c>
    </row>
    <row r="33" spans="1:27" s="33" customFormat="1">
      <c r="A33" s="20" t="s">
        <v>66</v>
      </c>
      <c r="B33" s="20">
        <f t="shared" ref="B33" si="22">-(B19+B20+B21)</f>
        <v>0</v>
      </c>
      <c r="C33" s="20">
        <f t="shared" ref="C33" si="23">-(C19+C20+C21)</f>
        <v>0</v>
      </c>
      <c r="D33" s="20">
        <f t="shared" ref="D33:E33" si="24">-(D19+D20+D21)</f>
        <v>0</v>
      </c>
      <c r="E33" s="20">
        <f t="shared" si="24"/>
        <v>0</v>
      </c>
      <c r="F33" s="20">
        <f t="shared" ref="F33:K33" si="25">-(F19+F20+F21)</f>
        <v>-4.4020000000000001</v>
      </c>
      <c r="G33" s="20">
        <f t="shared" si="25"/>
        <v>-17.905999999999999</v>
      </c>
      <c r="H33" s="20">
        <f t="shared" si="25"/>
        <v>6.4459999999999997</v>
      </c>
      <c r="I33" s="20">
        <f t="shared" si="25"/>
        <v>1.927</v>
      </c>
      <c r="J33" s="20">
        <f t="shared" si="25"/>
        <v>-8.6690000000000005</v>
      </c>
      <c r="K33" s="20">
        <f t="shared" si="25"/>
        <v>-13.473000000000001</v>
      </c>
      <c r="L33" s="20">
        <f t="shared" ref="L33:T33" si="26">-(L19+L20+L21)</f>
        <v>-3.464</v>
      </c>
      <c r="M33" s="20">
        <f t="shared" si="26"/>
        <v>-0.49299999999999999</v>
      </c>
      <c r="N33" s="20">
        <f t="shared" si="26"/>
        <v>-3.4990000000000001</v>
      </c>
      <c r="O33" s="20">
        <f t="shared" si="26"/>
        <v>-4.3319999999999999</v>
      </c>
      <c r="P33" s="20">
        <f t="shared" si="26"/>
        <v>-11.283000000000001</v>
      </c>
      <c r="Q33" s="20">
        <f t="shared" si="26"/>
        <v>-4.1769999999999987</v>
      </c>
      <c r="R33" s="20">
        <f t="shared" si="26"/>
        <v>-9.8810000000000002</v>
      </c>
      <c r="S33" s="20">
        <f t="shared" si="26"/>
        <v>-0.35599999999999998</v>
      </c>
      <c r="T33" s="20">
        <f t="shared" si="26"/>
        <v>-4.3999999999999997E-2</v>
      </c>
      <c r="U33" s="20"/>
      <c r="V33" s="20"/>
      <c r="W33" s="20"/>
      <c r="X33" s="20"/>
    </row>
    <row r="34" spans="1:27"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c r="V34" s="29"/>
      <c r="W34" s="29"/>
      <c r="X34" s="29"/>
    </row>
    <row r="35" spans="1:27" s="27" customFormat="1">
      <c r="A35" s="27" t="s">
        <v>67</v>
      </c>
      <c r="B35" s="27">
        <v>29.309000000000001</v>
      </c>
      <c r="C35" s="27">
        <f>-10.363+323.307-D35-E35-F35</f>
        <v>42.802000000000021</v>
      </c>
      <c r="D35" s="27">
        <f>270.142-E35-F35</f>
        <v>207.17</v>
      </c>
      <c r="E35" s="27">
        <f>62.972-F35</f>
        <v>22.609000000000002</v>
      </c>
      <c r="F35" s="27">
        <v>40.363</v>
      </c>
      <c r="G35" s="27">
        <f>87.414-H35-I35-J35</f>
        <v>11.489999999999995</v>
      </c>
      <c r="H35" s="27">
        <f>75.924-I35-J35</f>
        <v>29.234000000000009</v>
      </c>
      <c r="I35" s="27">
        <f>46.69-J35</f>
        <v>13.238999999999997</v>
      </c>
      <c r="J35" s="27">
        <v>33.451000000000001</v>
      </c>
      <c r="K35" s="27">
        <f>148.659-L35-M35-N35</f>
        <v>39.49199999999999</v>
      </c>
      <c r="L35" s="27">
        <f>109.167-M35-N35</f>
        <v>30.916999999999998</v>
      </c>
      <c r="M35" s="27">
        <f>78.25-N35</f>
        <v>58.468000000000004</v>
      </c>
      <c r="N35" s="27">
        <v>19.782</v>
      </c>
      <c r="O35" s="27">
        <f>48.961+4.531-P35-Q35-R35</f>
        <v>33.932000000000002</v>
      </c>
      <c r="P35" s="27">
        <f>15.029+4.531-Q35-R35</f>
        <v>-0.41300000000000114</v>
      </c>
      <c r="Q35" s="27">
        <f>15.442+4.531-R35</f>
        <v>22.884</v>
      </c>
      <c r="R35" s="27">
        <f>-7.442+4.531</f>
        <v>-2.9110000000000005</v>
      </c>
      <c r="S35" s="27">
        <f>13.66-T35</f>
        <v>9.51</v>
      </c>
      <c r="T35" s="27">
        <v>4.1500000000000004</v>
      </c>
      <c r="V35" s="27">
        <f>35.235-12.76-X35-W35</f>
        <v>-6.6469999999999985</v>
      </c>
      <c r="W35" s="27">
        <f>29.122-X35</f>
        <v>25.873999999999999</v>
      </c>
      <c r="X35" s="27">
        <v>3.2480000000000002</v>
      </c>
    </row>
    <row r="36" spans="1:27" s="33" customFormat="1">
      <c r="A36" s="20" t="s">
        <v>68</v>
      </c>
      <c r="B36" s="29">
        <v>-13.702</v>
      </c>
      <c r="C36" s="29">
        <f>-35.858-D36-E36-F36</f>
        <v>-9.8459999999999965</v>
      </c>
      <c r="D36" s="29">
        <f>-26.012-E36-F36</f>
        <v>-9.3410000000000011</v>
      </c>
      <c r="E36" s="29">
        <f>-16.671-F36</f>
        <v>-9.3589999999999982</v>
      </c>
      <c r="F36" s="29">
        <v>-7.3120000000000003</v>
      </c>
      <c r="G36" s="29">
        <f>-62.112-H36-I36-J36</f>
        <v>-13.073</v>
      </c>
      <c r="H36" s="29">
        <f>-49.039-I36-J36</f>
        <v>-22.947999999999997</v>
      </c>
      <c r="I36" s="29">
        <f>-26.091-J36</f>
        <v>-15.641000000000002</v>
      </c>
      <c r="J36" s="29">
        <v>-10.45</v>
      </c>
      <c r="K36" s="29">
        <f>-45.426-L36-M36-N36</f>
        <v>-9.3899999999999988</v>
      </c>
      <c r="L36" s="29">
        <f>-36.036-M36-N36</f>
        <v>-9.4160000000000021</v>
      </c>
      <c r="M36" s="29">
        <f>-26.62-N36</f>
        <v>-18.052</v>
      </c>
      <c r="N36" s="29">
        <f>-8.568</f>
        <v>-8.5679999999999996</v>
      </c>
      <c r="O36" s="29">
        <f>-49.271-2.679-P36-Q36-R36</f>
        <v>-23.961000000000006</v>
      </c>
      <c r="P36" s="29">
        <f>-25.31-2.679-Q36-R36</f>
        <v>-11.376999999999997</v>
      </c>
      <c r="Q36" s="29">
        <f>-13.933-2.679-R36</f>
        <v>-11.453999999999999</v>
      </c>
      <c r="R36" s="29">
        <f>-2.479-2.679</f>
        <v>-5.1579999999999995</v>
      </c>
      <c r="S36" s="29">
        <f>-11.452-T36</f>
        <v>-6.1369999999999996</v>
      </c>
      <c r="T36" s="29">
        <v>-5.3150000000000004</v>
      </c>
      <c r="U36" s="29"/>
      <c r="V36" s="29">
        <f>-11.287-2.021-X36-W36</f>
        <v>-5.862000000000001</v>
      </c>
      <c r="W36" s="29">
        <f>-7.446-X36</f>
        <v>-4.2839999999999998</v>
      </c>
      <c r="X36" s="29">
        <v>-3.1619999999999999</v>
      </c>
    </row>
    <row r="37" spans="1:27" s="27" customFormat="1">
      <c r="A37" s="27" t="s">
        <v>69</v>
      </c>
      <c r="B37" s="27">
        <f t="shared" ref="B37:X37" si="27">+B35+B36</f>
        <v>15.607000000000001</v>
      </c>
      <c r="C37" s="27">
        <f t="shared" si="27"/>
        <v>32.956000000000024</v>
      </c>
      <c r="D37" s="27">
        <f t="shared" si="27"/>
        <v>197.82899999999998</v>
      </c>
      <c r="E37" s="27">
        <f t="shared" si="27"/>
        <v>13.250000000000004</v>
      </c>
      <c r="F37" s="27">
        <f t="shared" si="27"/>
        <v>33.051000000000002</v>
      </c>
      <c r="G37" s="27">
        <f t="shared" si="27"/>
        <v>-1.5830000000000055</v>
      </c>
      <c r="H37" s="27">
        <f t="shared" si="27"/>
        <v>6.286000000000012</v>
      </c>
      <c r="I37" s="27">
        <f t="shared" si="27"/>
        <v>-2.4020000000000046</v>
      </c>
      <c r="J37" s="27">
        <f t="shared" si="27"/>
        <v>23.001000000000001</v>
      </c>
      <c r="K37" s="27">
        <f t="shared" si="27"/>
        <v>30.10199999999999</v>
      </c>
      <c r="L37" s="27">
        <f t="shared" si="27"/>
        <v>21.500999999999998</v>
      </c>
      <c r="M37" s="27">
        <f t="shared" si="27"/>
        <v>40.416000000000004</v>
      </c>
      <c r="N37" s="27">
        <f t="shared" si="27"/>
        <v>11.214</v>
      </c>
      <c r="O37" s="27">
        <f t="shared" si="27"/>
        <v>9.9709999999999965</v>
      </c>
      <c r="P37" s="27">
        <f t="shared" si="27"/>
        <v>-11.79</v>
      </c>
      <c r="Q37" s="27">
        <f t="shared" si="27"/>
        <v>11.430000000000001</v>
      </c>
      <c r="R37" s="27">
        <f t="shared" si="27"/>
        <v>-8.0689999999999991</v>
      </c>
      <c r="S37" s="27">
        <f t="shared" si="27"/>
        <v>3.3730000000000002</v>
      </c>
      <c r="T37" s="27">
        <f t="shared" si="27"/>
        <v>-1.165</v>
      </c>
      <c r="X37" s="27">
        <f t="shared" si="27"/>
        <v>8.6000000000000298E-2</v>
      </c>
    </row>
    <row r="39" spans="1:27" s="35" customFormat="1">
      <c r="A39" s="34" t="s">
        <v>70</v>
      </c>
      <c r="B39" s="20">
        <v>0</v>
      </c>
      <c r="C39" s="20">
        <v>0</v>
      </c>
      <c r="D39" s="20">
        <v>2</v>
      </c>
      <c r="E39" s="20">
        <v>0</v>
      </c>
      <c r="F39" s="20">
        <v>100</v>
      </c>
      <c r="G39" s="20">
        <v>0</v>
      </c>
      <c r="H39" s="20">
        <v>0</v>
      </c>
      <c r="I39" s="20">
        <f>J39</f>
        <v>0</v>
      </c>
      <c r="J39" s="20">
        <v>0</v>
      </c>
      <c r="K39" s="20">
        <v>0</v>
      </c>
      <c r="L39" s="20">
        <v>0</v>
      </c>
      <c r="M39" s="20">
        <v>0</v>
      </c>
      <c r="N39" s="20">
        <v>0</v>
      </c>
      <c r="O39" s="20">
        <v>0</v>
      </c>
      <c r="P39" s="20">
        <v>0</v>
      </c>
      <c r="Q39" s="20">
        <v>0</v>
      </c>
      <c r="R39" s="20"/>
      <c r="S39" s="20"/>
      <c r="T39" s="20"/>
      <c r="U39" s="20"/>
      <c r="V39" s="20"/>
      <c r="W39" s="20"/>
      <c r="X39" s="20"/>
    </row>
    <row r="40" spans="1:27" s="35" customFormat="1">
      <c r="A40" s="34" t="s">
        <v>71</v>
      </c>
      <c r="B40" s="20">
        <v>730</v>
      </c>
      <c r="C40" s="20">
        <v>630</v>
      </c>
      <c r="D40" s="20">
        <v>336</v>
      </c>
      <c r="E40" s="20">
        <v>977</v>
      </c>
      <c r="F40" s="20">
        <v>977</v>
      </c>
      <c r="G40" s="20">
        <v>997</v>
      </c>
      <c r="H40" s="20">
        <v>999</v>
      </c>
      <c r="I40" s="20">
        <f>J40</f>
        <v>1020</v>
      </c>
      <c r="J40" s="20">
        <v>1020</v>
      </c>
      <c r="K40" s="20">
        <v>843</v>
      </c>
      <c r="L40" s="20">
        <v>859</v>
      </c>
      <c r="M40" s="20">
        <v>877</v>
      </c>
      <c r="N40" s="20">
        <v>935</v>
      </c>
      <c r="O40" s="20">
        <v>935</v>
      </c>
      <c r="P40" s="20">
        <v>630</v>
      </c>
      <c r="Q40" s="20">
        <v>518.70000000000005</v>
      </c>
      <c r="R40" s="20"/>
      <c r="S40" s="20"/>
      <c r="T40" s="20"/>
      <c r="U40" s="20"/>
      <c r="V40" s="20"/>
      <c r="W40" s="20"/>
      <c r="X40" s="20"/>
      <c r="Y40" s="102"/>
    </row>
    <row r="41" spans="1:27" s="35" customFormat="1">
      <c r="A41" s="34" t="s">
        <v>72</v>
      </c>
      <c r="B41" s="20">
        <f>B39+B40+500</f>
        <v>1230</v>
      </c>
      <c r="C41" s="20">
        <f>C39+C40+500</f>
        <v>1130</v>
      </c>
      <c r="D41" s="20">
        <f>D39+D40+500</f>
        <v>838</v>
      </c>
      <c r="E41" s="20">
        <f>E39+E40</f>
        <v>977</v>
      </c>
      <c r="F41" s="20">
        <f>F39+F40</f>
        <v>1077</v>
      </c>
      <c r="G41" s="20">
        <f>G39+G40</f>
        <v>997</v>
      </c>
      <c r="H41" s="20">
        <f>H39+H40</f>
        <v>999</v>
      </c>
      <c r="I41" s="20">
        <f>J41</f>
        <v>1020</v>
      </c>
      <c r="J41" s="20">
        <f t="shared" ref="J41:P41" si="28">J39+J40</f>
        <v>1020</v>
      </c>
      <c r="K41" s="20">
        <f t="shared" si="28"/>
        <v>843</v>
      </c>
      <c r="L41" s="20">
        <f t="shared" si="28"/>
        <v>859</v>
      </c>
      <c r="M41" s="20">
        <f t="shared" si="28"/>
        <v>877</v>
      </c>
      <c r="N41" s="20">
        <f t="shared" si="28"/>
        <v>935</v>
      </c>
      <c r="O41" s="20">
        <f t="shared" si="28"/>
        <v>935</v>
      </c>
      <c r="P41" s="20">
        <f t="shared" si="28"/>
        <v>630</v>
      </c>
      <c r="Q41" s="20">
        <f>Q39+Q40+100</f>
        <v>618.70000000000005</v>
      </c>
      <c r="R41" s="20"/>
      <c r="S41" s="20"/>
      <c r="T41" s="20"/>
      <c r="U41" s="20"/>
      <c r="V41" s="20"/>
      <c r="W41" s="20"/>
      <c r="X41" s="20"/>
      <c r="AA41" s="33"/>
    </row>
    <row r="42" spans="1:27" s="35" customFormat="1">
      <c r="A42" s="34" t="s">
        <v>73</v>
      </c>
      <c r="B42" s="36">
        <f t="shared" ref="B42:H42" si="29">C42</f>
        <v>343</v>
      </c>
      <c r="C42" s="36">
        <f t="shared" si="29"/>
        <v>343</v>
      </c>
      <c r="D42" s="36">
        <f t="shared" si="29"/>
        <v>343</v>
      </c>
      <c r="E42" s="36">
        <f t="shared" si="29"/>
        <v>343</v>
      </c>
      <c r="F42" s="36">
        <f t="shared" si="29"/>
        <v>343</v>
      </c>
      <c r="G42" s="36">
        <f t="shared" si="29"/>
        <v>343</v>
      </c>
      <c r="H42" s="36">
        <f t="shared" si="29"/>
        <v>343</v>
      </c>
      <c r="I42" s="36">
        <f>J42</f>
        <v>343</v>
      </c>
      <c r="J42" s="36">
        <v>343</v>
      </c>
      <c r="K42" s="36">
        <v>343</v>
      </c>
      <c r="L42" s="36">
        <v>343</v>
      </c>
      <c r="M42" s="36">
        <v>343</v>
      </c>
      <c r="N42" s="36">
        <v>343</v>
      </c>
      <c r="O42" s="36">
        <v>343</v>
      </c>
      <c r="P42" s="36">
        <v>343</v>
      </c>
      <c r="Q42" s="36">
        <v>343</v>
      </c>
      <c r="R42" s="36"/>
      <c r="S42" s="36"/>
      <c r="T42" s="36"/>
      <c r="U42" s="36"/>
      <c r="V42" s="36"/>
      <c r="W42" s="36"/>
      <c r="X42" s="36"/>
      <c r="AA42" s="33"/>
    </row>
    <row r="43" spans="1:27">
      <c r="B43" s="35"/>
      <c r="C43" s="35"/>
      <c r="D43" s="35"/>
      <c r="E43" s="35"/>
      <c r="F43" s="35"/>
      <c r="G43" s="35"/>
      <c r="H43" s="35"/>
      <c r="I43" s="35"/>
      <c r="J43" s="35"/>
      <c r="K43" s="35"/>
      <c r="L43" s="35"/>
      <c r="M43" s="35"/>
      <c r="N43" s="35"/>
      <c r="O43" s="35"/>
      <c r="P43" s="35"/>
      <c r="Q43" s="35"/>
      <c r="R43" s="35"/>
      <c r="S43" s="35"/>
      <c r="AA43" s="33"/>
    </row>
    <row r="44" spans="1:27">
      <c r="A44" s="19" t="s">
        <v>74</v>
      </c>
      <c r="B44" s="28">
        <v>121.752</v>
      </c>
      <c r="C44" s="28">
        <v>8.1999999999999993</v>
      </c>
      <c r="D44" s="28">
        <v>0.315</v>
      </c>
      <c r="E44" s="28">
        <v>22.896999999999998</v>
      </c>
      <c r="F44" s="28">
        <v>111.011</v>
      </c>
      <c r="G44" s="28">
        <v>2.6589999999999998</v>
      </c>
      <c r="H44" s="28">
        <v>7.726</v>
      </c>
      <c r="I44" s="28">
        <f>J44</f>
        <v>27</v>
      </c>
      <c r="J44" s="28">
        <v>27</v>
      </c>
      <c r="K44" s="28">
        <v>23.945</v>
      </c>
      <c r="L44" s="28">
        <v>3.3650000000000002</v>
      </c>
      <c r="M44" s="28">
        <v>7.9880000000000004</v>
      </c>
      <c r="N44" s="28">
        <v>17.986999999999998</v>
      </c>
      <c r="O44" s="28">
        <v>9.5389999999999997</v>
      </c>
      <c r="P44" s="28">
        <v>0.47199999999999998</v>
      </c>
      <c r="Q44" s="28">
        <v>0</v>
      </c>
      <c r="R44" s="28"/>
      <c r="S44" s="28"/>
      <c r="T44" s="28"/>
      <c r="U44" s="28"/>
      <c r="V44" s="28"/>
      <c r="W44" s="28"/>
      <c r="X44" s="28"/>
    </row>
    <row r="46" spans="1:27">
      <c r="A46" s="14" t="s">
        <v>75</v>
      </c>
      <c r="B46" s="33">
        <f t="shared" ref="B46:U46" si="30">SUM(B12:E12)</f>
        <v>1795.22</v>
      </c>
      <c r="C46" s="33">
        <f t="shared" si="30"/>
        <v>1737.8609999999999</v>
      </c>
      <c r="D46" s="33">
        <f t="shared" si="30"/>
        <v>1688.6989999999998</v>
      </c>
      <c r="E46" s="33">
        <f t="shared" si="30"/>
        <v>1598.0629999999999</v>
      </c>
      <c r="F46" s="33">
        <f t="shared" si="30"/>
        <v>1513.9649999999997</v>
      </c>
      <c r="G46" s="33">
        <f t="shared" si="30"/>
        <v>1432.4269999999997</v>
      </c>
      <c r="H46" s="33">
        <f t="shared" si="30"/>
        <v>1354.8639999999998</v>
      </c>
      <c r="I46" s="33">
        <f t="shared" si="30"/>
        <v>1280.5239999999999</v>
      </c>
      <c r="J46" s="33">
        <f t="shared" si="30"/>
        <v>1258.7550000000001</v>
      </c>
      <c r="K46" s="33">
        <f t="shared" si="30"/>
        <v>1288.74</v>
      </c>
      <c r="L46" s="33">
        <f t="shared" si="30"/>
        <v>1261.7090000000001</v>
      </c>
      <c r="M46" s="33">
        <f t="shared" si="30"/>
        <v>1273.886</v>
      </c>
      <c r="N46" s="33">
        <f t="shared" si="30"/>
        <v>1222.7639999999999</v>
      </c>
      <c r="O46" s="33">
        <f t="shared" si="30"/>
        <v>1142.6559999999999</v>
      </c>
      <c r="P46" s="33">
        <f t="shared" si="30"/>
        <v>1114.338</v>
      </c>
      <c r="Q46" s="33">
        <f t="shared" si="30"/>
        <v>1025.6039999999998</v>
      </c>
      <c r="R46" s="33">
        <f t="shared" si="30"/>
        <v>996.072</v>
      </c>
      <c r="S46" s="33">
        <f t="shared" si="30"/>
        <v>966.08799999999997</v>
      </c>
      <c r="T46" s="33">
        <f t="shared" si="30"/>
        <v>897.327</v>
      </c>
      <c r="U46" s="33">
        <f t="shared" si="30"/>
        <v>872.45300000000009</v>
      </c>
    </row>
    <row r="47" spans="1:27">
      <c r="A47" s="14" t="s">
        <v>76</v>
      </c>
      <c r="B47" s="33">
        <f t="shared" ref="B47:F47" si="31">+B27</f>
        <v>286.721</v>
      </c>
      <c r="C47" s="33">
        <f t="shared" si="31"/>
        <v>271.06599999999997</v>
      </c>
      <c r="D47" s="33">
        <f t="shared" si="31"/>
        <v>248.04</v>
      </c>
      <c r="E47" s="33">
        <f t="shared" si="31"/>
        <v>204.88300000000001</v>
      </c>
      <c r="F47" s="33">
        <f t="shared" si="31"/>
        <v>191.39699999999999</v>
      </c>
      <c r="G47" s="33">
        <f t="shared" ref="G47:I47" si="32">+G27</f>
        <v>206.40899999999999</v>
      </c>
      <c r="H47" s="33">
        <f t="shared" si="32"/>
        <v>209.31</v>
      </c>
      <c r="I47" s="33">
        <f t="shared" si="32"/>
        <v>206.94</v>
      </c>
      <c r="J47" s="33">
        <f t="shared" ref="J47:O47" si="33">+J27</f>
        <v>202.61199999999999</v>
      </c>
      <c r="K47" s="33">
        <f t="shared" si="33"/>
        <v>207.51499999999999</v>
      </c>
      <c r="L47" s="33">
        <f t="shared" si="33"/>
        <v>183.83299999999997</v>
      </c>
      <c r="M47" s="33">
        <f t="shared" si="33"/>
        <v>210.37899999999999</v>
      </c>
      <c r="N47" s="33">
        <f t="shared" si="33"/>
        <v>203.40100000000001</v>
      </c>
      <c r="O47" s="33">
        <f t="shared" si="33"/>
        <v>175.43</v>
      </c>
      <c r="P47" s="33">
        <f t="shared" ref="P47:U47" si="34">+P27</f>
        <v>177.84399999999999</v>
      </c>
      <c r="Q47" s="33">
        <f t="shared" si="34"/>
        <v>140.517</v>
      </c>
      <c r="R47" s="33">
        <f t="shared" si="34"/>
        <v>134.46599999999998</v>
      </c>
      <c r="S47" s="33">
        <f t="shared" si="34"/>
        <v>132.90799999999999</v>
      </c>
      <c r="T47" s="33">
        <f t="shared" si="34"/>
        <v>114.09400000000002</v>
      </c>
      <c r="U47" s="33">
        <f t="shared" si="34"/>
        <v>81.655000000000001</v>
      </c>
    </row>
    <row r="48" spans="1:27">
      <c r="A48" s="14" t="s">
        <v>77</v>
      </c>
      <c r="B48" s="33">
        <f t="shared" ref="B48:H48" si="35">SUM(B37:E37)</f>
        <v>259.642</v>
      </c>
      <c r="C48" s="33">
        <f t="shared" si="35"/>
        <v>277.08600000000001</v>
      </c>
      <c r="D48" s="33">
        <f t="shared" si="35"/>
        <v>242.547</v>
      </c>
      <c r="E48" s="33">
        <f t="shared" si="35"/>
        <v>51.004000000000005</v>
      </c>
      <c r="F48" s="33">
        <f t="shared" si="35"/>
        <v>35.352000000000004</v>
      </c>
      <c r="G48" s="33">
        <f t="shared" si="35"/>
        <v>25.302000000000003</v>
      </c>
      <c r="H48" s="33">
        <f t="shared" si="35"/>
        <v>56.986999999999995</v>
      </c>
      <c r="I48" s="33">
        <f t="shared" ref="I48:Q48" si="36">SUM(I37:L37)</f>
        <v>72.201999999999984</v>
      </c>
      <c r="J48" s="33">
        <f t="shared" si="36"/>
        <v>115.01999999999998</v>
      </c>
      <c r="K48" s="33">
        <f t="shared" si="36"/>
        <v>103.23299999999999</v>
      </c>
      <c r="L48" s="33">
        <f t="shared" si="36"/>
        <v>83.102000000000004</v>
      </c>
      <c r="M48" s="33">
        <f t="shared" si="36"/>
        <v>49.811</v>
      </c>
      <c r="N48" s="33">
        <f t="shared" si="36"/>
        <v>20.824999999999996</v>
      </c>
      <c r="O48" s="33">
        <f t="shared" si="36"/>
        <v>1.5419999999999998</v>
      </c>
      <c r="P48" s="33">
        <f t="shared" si="36"/>
        <v>-5.0559999999999965</v>
      </c>
      <c r="Q48" s="33">
        <f t="shared" si="36"/>
        <v>5.5690000000000026</v>
      </c>
      <c r="R48" s="33"/>
      <c r="S48" s="33"/>
      <c r="T48" s="33"/>
      <c r="U48" s="33"/>
    </row>
    <row r="50" spans="1:24" s="37" customFormat="1">
      <c r="A50" s="37" t="s">
        <v>78</v>
      </c>
      <c r="B50" s="37">
        <f t="shared" ref="B50" si="37">+SUM(B39:B40)/B47</f>
        <v>2.5460290665838916</v>
      </c>
      <c r="C50" s="37">
        <f t="shared" ref="C50:D50" si="38">+SUM(C39:C40)/C47</f>
        <v>2.3241572163236999</v>
      </c>
      <c r="D50" s="37">
        <f t="shared" si="38"/>
        <v>1.3626834381551363</v>
      </c>
      <c r="E50" s="37">
        <f t="shared" ref="E50:F50" si="39">+SUM(E39:E40)/E47</f>
        <v>4.7685752356222819</v>
      </c>
      <c r="F50" s="37">
        <f t="shared" si="39"/>
        <v>5.6270474458847319</v>
      </c>
      <c r="G50" s="37">
        <f t="shared" ref="G50:H50" si="40">+SUM(G39:G40)/G47</f>
        <v>4.830215736716907</v>
      </c>
      <c r="H50" s="37">
        <f t="shared" si="40"/>
        <v>4.7728249964167979</v>
      </c>
      <c r="I50" s="37">
        <f t="shared" ref="I50:J50" si="41">+SUM(I39:I40)/I47</f>
        <v>4.9289649173673533</v>
      </c>
      <c r="J50" s="37">
        <f t="shared" si="41"/>
        <v>5.0342526602570432</v>
      </c>
      <c r="K50" s="37">
        <f t="shared" ref="K50" si="42">+SUM(K39:K40)/K47</f>
        <v>4.0623569380526714</v>
      </c>
      <c r="L50" s="37">
        <f t="shared" ref="L50:Q50" si="43">+SUM(L39:L40)/L47</f>
        <v>4.6727192615036479</v>
      </c>
      <c r="M50" s="37">
        <f t="shared" si="43"/>
        <v>4.1686670247505697</v>
      </c>
      <c r="N50" s="37">
        <f t="shared" si="43"/>
        <v>4.5968308907035853</v>
      </c>
      <c r="O50" s="37">
        <f t="shared" si="43"/>
        <v>5.3297611582967566</v>
      </c>
      <c r="P50" s="37">
        <f t="shared" si="43"/>
        <v>3.5424304446593644</v>
      </c>
      <c r="Q50" s="37">
        <f t="shared" si="43"/>
        <v>3.6913683041909526</v>
      </c>
    </row>
    <row r="51" spans="1:24" s="37" customFormat="1">
      <c r="A51" s="37" t="s">
        <v>79</v>
      </c>
      <c r="B51" s="37">
        <f t="shared" ref="B51" si="44">+B41/B47</f>
        <v>4.2898845916413517</v>
      </c>
      <c r="C51" s="37">
        <f t="shared" ref="C51:D51" si="45">+C41/C47</f>
        <v>4.1687264356282236</v>
      </c>
      <c r="D51" s="37">
        <f t="shared" si="45"/>
        <v>3.3784873407514917</v>
      </c>
      <c r="E51" s="37">
        <f t="shared" ref="E51:F51" si="46">+E41/E47</f>
        <v>4.7685752356222819</v>
      </c>
      <c r="F51" s="37">
        <f t="shared" si="46"/>
        <v>5.6270474458847319</v>
      </c>
      <c r="G51" s="37">
        <f t="shared" ref="G51:H51" si="47">+G41/G47</f>
        <v>4.830215736716907</v>
      </c>
      <c r="H51" s="37">
        <f t="shared" si="47"/>
        <v>4.7728249964167979</v>
      </c>
      <c r="I51" s="37">
        <f t="shared" ref="I51:J51" si="48">+I41/I47</f>
        <v>4.9289649173673533</v>
      </c>
      <c r="J51" s="37">
        <f t="shared" si="48"/>
        <v>5.0342526602570432</v>
      </c>
      <c r="K51" s="37">
        <f t="shared" ref="K51" si="49">+K41/K47</f>
        <v>4.0623569380526714</v>
      </c>
      <c r="L51" s="37">
        <f t="shared" ref="L51:Q51" si="50">+L41/L47</f>
        <v>4.6727192615036479</v>
      </c>
      <c r="M51" s="37">
        <f t="shared" si="50"/>
        <v>4.1686670247505697</v>
      </c>
      <c r="N51" s="37">
        <f t="shared" si="50"/>
        <v>4.5968308907035853</v>
      </c>
      <c r="O51" s="37">
        <f t="shared" si="50"/>
        <v>5.3297611582967566</v>
      </c>
      <c r="P51" s="37">
        <f t="shared" si="50"/>
        <v>3.5424304446593644</v>
      </c>
      <c r="Q51" s="37">
        <f t="shared" si="50"/>
        <v>4.4030259683881674</v>
      </c>
    </row>
    <row r="52" spans="1:24" s="37" customFormat="1">
      <c r="A52" s="37" t="s">
        <v>80</v>
      </c>
      <c r="B52" s="37">
        <f t="shared" ref="B52" si="51">+(B41-B44)/B47</f>
        <v>3.8652487958677599</v>
      </c>
      <c r="C52" s="37">
        <f t="shared" ref="C52:D52" si="52">+(C41-C44)/C47</f>
        <v>4.1384755004316292</v>
      </c>
      <c r="D52" s="37">
        <f t="shared" si="52"/>
        <v>3.3772173842928557</v>
      </c>
      <c r="E52" s="37">
        <f t="shared" ref="E52:F52" si="53">+(E41-E44)/E47</f>
        <v>4.6568187697368737</v>
      </c>
      <c r="F52" s="37">
        <f t="shared" si="53"/>
        <v>5.0470435795754378</v>
      </c>
      <c r="G52" s="37">
        <f t="shared" ref="G52:H52" si="54">+(G41-G44)/G47</f>
        <v>4.8173335465023328</v>
      </c>
      <c r="H52" s="37">
        <f t="shared" si="54"/>
        <v>4.7359132387368019</v>
      </c>
      <c r="I52" s="37">
        <f t="shared" ref="I52:J52" si="55">+(I41-I44)/I47</f>
        <v>4.7984923166135109</v>
      </c>
      <c r="J52" s="37">
        <f t="shared" si="55"/>
        <v>4.900993031014945</v>
      </c>
      <c r="K52" s="37">
        <f t="shared" ref="K52" si="56">+(K41-K44)/K47</f>
        <v>3.946967689082717</v>
      </c>
      <c r="L52" s="37">
        <f t="shared" ref="L52:Q52" si="57">+(L41-L44)/L47</f>
        <v>4.654414604559574</v>
      </c>
      <c r="M52" s="37">
        <f t="shared" si="57"/>
        <v>4.1306974555445173</v>
      </c>
      <c r="N52" s="37">
        <f t="shared" si="57"/>
        <v>4.5083996637184676</v>
      </c>
      <c r="O52" s="37">
        <f t="shared" si="57"/>
        <v>5.2753861939235023</v>
      </c>
      <c r="P52" s="37">
        <f t="shared" si="57"/>
        <v>3.5397764332786039</v>
      </c>
      <c r="Q52" s="37">
        <f t="shared" si="57"/>
        <v>4.4030259683881674</v>
      </c>
    </row>
    <row r="53" spans="1:24" s="38" customFormat="1">
      <c r="A53" s="38" t="s">
        <v>81</v>
      </c>
      <c r="B53" s="38">
        <f t="shared" ref="B53" si="58">+B48/B41</f>
        <v>0.21109105691056909</v>
      </c>
      <c r="C53" s="38">
        <f t="shared" ref="C53:D53" si="59">+C48/C41</f>
        <v>0.24520884955752215</v>
      </c>
      <c r="D53" s="38">
        <f t="shared" si="59"/>
        <v>0.28943556085918853</v>
      </c>
      <c r="E53" s="38">
        <f t="shared" ref="E53:F53" si="60">+E48/E41</f>
        <v>5.2204708290685777E-2</v>
      </c>
      <c r="F53" s="38">
        <f t="shared" si="60"/>
        <v>3.2824512534818946E-2</v>
      </c>
      <c r="G53" s="38">
        <f t="shared" ref="G53:H53" si="61">+G48/G41</f>
        <v>2.5378134403209632E-2</v>
      </c>
      <c r="H53" s="38">
        <f t="shared" si="61"/>
        <v>5.7044044044044041E-2</v>
      </c>
      <c r="I53" s="38">
        <f t="shared" ref="I53:J53" si="62">+I48/I41</f>
        <v>7.0786274509803904E-2</v>
      </c>
      <c r="J53" s="38">
        <f t="shared" si="62"/>
        <v>0.11276470588235292</v>
      </c>
      <c r="K53" s="38">
        <f t="shared" ref="K53" si="63">+K48/K41</f>
        <v>0.12245907473309607</v>
      </c>
      <c r="L53" s="38">
        <f t="shared" ref="L53:Q53" si="64">+L48/L41</f>
        <v>9.6742724097788127E-2</v>
      </c>
      <c r="M53" s="38">
        <f t="shared" si="64"/>
        <v>5.6797035347776512E-2</v>
      </c>
      <c r="N53" s="38">
        <f t="shared" si="64"/>
        <v>2.2272727272727267E-2</v>
      </c>
      <c r="O53" s="38">
        <f t="shared" si="64"/>
        <v>1.6491978609625667E-3</v>
      </c>
      <c r="P53" s="38">
        <f t="shared" si="64"/>
        <v>-8.0253968253968192E-3</v>
      </c>
      <c r="Q53" s="38">
        <f t="shared" si="64"/>
        <v>9.0011314045579469E-3</v>
      </c>
    </row>
    <row r="54" spans="1:24" s="38" customFormat="1">
      <c r="A54" s="39" t="s">
        <v>82</v>
      </c>
      <c r="B54" s="40"/>
      <c r="C54" s="40"/>
      <c r="D54" s="40"/>
      <c r="E54" s="40"/>
      <c r="F54" s="40"/>
      <c r="G54" s="40"/>
      <c r="H54" s="40"/>
      <c r="I54" s="40"/>
      <c r="J54" s="40"/>
      <c r="K54" s="40"/>
      <c r="L54" s="40"/>
      <c r="M54" s="40"/>
      <c r="N54" s="40"/>
      <c r="O54" s="40"/>
      <c r="P54" s="40"/>
      <c r="Q54" s="40"/>
      <c r="R54" s="40"/>
      <c r="S54" s="40"/>
      <c r="T54" s="40"/>
      <c r="U54" s="40"/>
      <c r="V54" s="39"/>
      <c r="W54" s="39"/>
      <c r="X54" s="39"/>
    </row>
    <row r="55" spans="1:24" s="38" customFormat="1">
      <c r="A55" s="38" t="s">
        <v>83</v>
      </c>
      <c r="B55" s="41">
        <f t="shared" ref="B55:C55" si="65">IF(B42=0,IF(B54="","","*"&amp;TEXT(B54,"0.0x")),(B41+B42-B44)/B47)</f>
        <v>5.061533686057178</v>
      </c>
      <c r="C55" s="41">
        <f t="shared" si="65"/>
        <v>5.4038499848745332</v>
      </c>
      <c r="D55" s="41">
        <f t="shared" ref="D55:E55" si="66">IF(D42=0,IF(D54="","","*"&amp;TEXT(D54,"0.0x")),(D41+D42-D44)/D47)</f>
        <v>4.7600588614739561</v>
      </c>
      <c r="E55" s="41">
        <f t="shared" si="66"/>
        <v>6.3309449783534992</v>
      </c>
      <c r="F55" s="41">
        <f t="shared" ref="F55:G55" si="67">IF(F42=0,IF(F54="","","*"&amp;TEXT(F54,"0.0x")),(F41+F42-F44)/F47)</f>
        <v>6.8391301849036301</v>
      </c>
      <c r="G55" s="41">
        <f t="shared" si="67"/>
        <v>6.4790827919325222</v>
      </c>
      <c r="H55" s="41">
        <f t="shared" ref="H55:I55" si="68">IF(H42=0,IF(H54="","","*"&amp;TEXT(H54,"0.0x")),(H41+H42-H44)/H47)</f>
        <v>6.374630930199225</v>
      </c>
      <c r="I55" s="41">
        <f t="shared" si="68"/>
        <v>6.4559775780419448</v>
      </c>
      <c r="J55" s="41">
        <f t="shared" ref="J55:O55" si="69">IF(J42=0,IF(J54="","","*"&amp;TEXT(J54,"0.0x")),(J41+J42-J44)/J47)</f>
        <v>6.5938838765719705</v>
      </c>
      <c r="K55" s="41">
        <f t="shared" si="69"/>
        <v>5.5998602510661888</v>
      </c>
      <c r="L55" s="41">
        <f t="shared" si="69"/>
        <v>6.5202384773136499</v>
      </c>
      <c r="M55" s="41">
        <f t="shared" si="69"/>
        <v>5.7610883215530064</v>
      </c>
      <c r="N55" s="41">
        <f t="shared" si="69"/>
        <v>6.194723723088873</v>
      </c>
      <c r="O55" s="41">
        <f t="shared" si="69"/>
        <v>7.2305819985179269</v>
      </c>
      <c r="P55" s="41">
        <f t="shared" ref="P55:U55" si="70">IF(P42=0,IF(P54="","","*"&amp;TEXT(P54,"0.0x")),(P41+P42-P44)/P47)</f>
        <v>5.4684330087042579</v>
      </c>
      <c r="Q55" s="41">
        <f t="shared" si="70"/>
        <v>6.8440117565846128</v>
      </c>
      <c r="R55" s="41" t="str">
        <f t="shared" si="70"/>
        <v/>
      </c>
      <c r="S55" s="41" t="str">
        <f t="shared" si="70"/>
        <v/>
      </c>
      <c r="T55" s="41" t="str">
        <f t="shared" si="70"/>
        <v/>
      </c>
      <c r="U55" s="41" t="str">
        <f t="shared" si="70"/>
        <v/>
      </c>
      <c r="V55" s="41" t="str">
        <f>IF(V42=0,IF(V54="","",CONCATENATE("* ",V54,"x")),(V41+V42-V44)/V47)</f>
        <v/>
      </c>
      <c r="W55" s="41" t="str">
        <f>IF(W42=0,IF(W54="","",CONCATENATE("* ",W54,"x")),(W41+W42-W44)/W47)</f>
        <v/>
      </c>
      <c r="X55" s="41" t="str">
        <f>IF(X42=0,IF(X54="","",CONCATENATE("* ",X54,"x")),(X41+X42-X44)/X47)</f>
        <v/>
      </c>
    </row>
    <row r="56" spans="1:24">
      <c r="U56" s="42"/>
    </row>
    <row r="57" spans="1:24" ht="80.25" customHeight="1">
      <c r="A57" s="43" t="s">
        <v>84</v>
      </c>
      <c r="B57" s="44" t="s">
        <v>550</v>
      </c>
      <c r="C57" s="44" t="s">
        <v>609</v>
      </c>
      <c r="D57" s="44" t="s">
        <v>550</v>
      </c>
      <c r="E57" s="44" t="s">
        <v>550</v>
      </c>
      <c r="F57" s="44" t="s">
        <v>550</v>
      </c>
      <c r="G57" s="44" t="s">
        <v>550</v>
      </c>
      <c r="H57" s="44" t="s">
        <v>550</v>
      </c>
      <c r="I57" s="44" t="s">
        <v>471</v>
      </c>
      <c r="J57" s="44" t="s">
        <v>471</v>
      </c>
      <c r="K57" s="44"/>
      <c r="L57" s="44"/>
      <c r="M57" s="44"/>
      <c r="N57" s="44"/>
      <c r="O57" s="44"/>
      <c r="P57" s="44"/>
      <c r="Q57" s="44"/>
      <c r="R57" s="44"/>
      <c r="S57" s="44"/>
      <c r="T57" s="44"/>
      <c r="U57" s="44"/>
      <c r="V57" s="44"/>
      <c r="W57" s="44"/>
      <c r="X57" s="44"/>
    </row>
    <row r="58" spans="1:24">
      <c r="A58" s="45"/>
      <c r="B58" s="42"/>
      <c r="C58" s="42"/>
      <c r="D58" s="42"/>
      <c r="E58" s="42"/>
      <c r="F58" s="42"/>
      <c r="G58" s="42"/>
      <c r="H58" s="42"/>
      <c r="I58" s="42"/>
      <c r="J58" s="42"/>
      <c r="K58" s="42"/>
      <c r="L58" s="42"/>
      <c r="M58" s="42"/>
      <c r="N58" s="42"/>
      <c r="O58" s="42"/>
      <c r="P58" s="42"/>
      <c r="Q58" s="42"/>
    </row>
    <row r="59" spans="1:24">
      <c r="A59" s="45"/>
    </row>
  </sheetData>
  <pageMargins left="0.7" right="0.7" top="0.75" bottom="0.75" header="0.3" footer="0.3"/>
  <pageSetup orientation="portrait" r:id="rId1"/>
  <ignoredErrors>
    <ignoredError sqref="K24:L27 Q24:U26 I24:J24 H24 I25 F24:G26" formulaRange="1"/>
  </ignoredErrors>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2:Z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24" width="10.6640625" style="14" customWidth="1"/>
    <col min="25" max="16384" width="9.109375" style="14"/>
  </cols>
  <sheetData>
    <row r="2" spans="1:24">
      <c r="A2" s="13" t="s">
        <v>44</v>
      </c>
      <c r="B2" s="14" t="s">
        <v>32</v>
      </c>
    </row>
    <row r="3" spans="1:24" s="16" customFormat="1">
      <c r="A3" s="15" t="s">
        <v>45</v>
      </c>
      <c r="B3" s="16" t="s">
        <v>140</v>
      </c>
    </row>
    <row r="4" spans="1:24">
      <c r="A4" s="13" t="s">
        <v>2</v>
      </c>
      <c r="B4" s="14" t="s">
        <v>4</v>
      </c>
    </row>
    <row r="5" spans="1:24">
      <c r="A5" s="13" t="s">
        <v>46</v>
      </c>
    </row>
    <row r="6" spans="1:24">
      <c r="A6" s="13" t="s">
        <v>47</v>
      </c>
      <c r="B6" s="14">
        <v>3</v>
      </c>
    </row>
    <row r="7" spans="1:24">
      <c r="A7" s="13" t="s">
        <v>48</v>
      </c>
      <c r="B7" s="14" t="s">
        <v>460</v>
      </c>
    </row>
    <row r="8" spans="1:24">
      <c r="A8" s="13" t="s">
        <v>347</v>
      </c>
      <c r="B8" s="14" t="s">
        <v>381</v>
      </c>
    </row>
    <row r="9" spans="1:24">
      <c r="A9" s="17"/>
    </row>
    <row r="10" spans="1:24">
      <c r="A10" s="17" t="s">
        <v>49</v>
      </c>
      <c r="B10" s="18">
        <v>44286</v>
      </c>
      <c r="C10" s="18">
        <v>44196</v>
      </c>
      <c r="D10" s="18">
        <v>44104</v>
      </c>
      <c r="E10" s="18">
        <v>44012</v>
      </c>
      <c r="F10" s="18">
        <v>43921</v>
      </c>
      <c r="G10" s="18">
        <v>43830</v>
      </c>
      <c r="H10" s="18">
        <v>43738</v>
      </c>
      <c r="I10" s="18">
        <v>43646</v>
      </c>
      <c r="J10" s="18">
        <v>43555</v>
      </c>
      <c r="K10" s="18">
        <v>43465</v>
      </c>
      <c r="L10" s="18">
        <v>43373</v>
      </c>
      <c r="M10" s="18">
        <v>43281</v>
      </c>
      <c r="N10" s="18">
        <v>43190</v>
      </c>
      <c r="O10" s="18">
        <v>43100</v>
      </c>
      <c r="P10" s="18">
        <v>43008</v>
      </c>
      <c r="Q10" s="18">
        <v>42916</v>
      </c>
      <c r="R10" s="18">
        <v>42825</v>
      </c>
      <c r="S10" s="18">
        <v>42735</v>
      </c>
      <c r="T10" s="18">
        <v>42643</v>
      </c>
      <c r="U10" s="18">
        <v>42551</v>
      </c>
      <c r="V10" s="18">
        <v>42460</v>
      </c>
      <c r="W10" s="18">
        <v>42369</v>
      </c>
      <c r="X10" s="18">
        <v>42277</v>
      </c>
    </row>
    <row r="12" spans="1:24">
      <c r="A12" s="19" t="s">
        <v>50</v>
      </c>
      <c r="B12" s="20">
        <f>451</f>
        <v>451</v>
      </c>
      <c r="C12" s="20">
        <v>577</v>
      </c>
      <c r="D12" s="20">
        <v>635</v>
      </c>
      <c r="E12" s="20">
        <v>505</v>
      </c>
      <c r="F12" s="20">
        <f>920-E12</f>
        <v>415</v>
      </c>
      <c r="G12" s="20">
        <f>858.505-H12-I12-J12</f>
        <v>211.68699999999998</v>
      </c>
      <c r="H12" s="20">
        <v>226.59100000000001</v>
      </c>
      <c r="I12" s="20">
        <v>236.53399999999999</v>
      </c>
      <c r="J12" s="20">
        <v>183.69300000000001</v>
      </c>
      <c r="K12" s="20">
        <f>218.44+650.53-L12-M12-N12</f>
        <v>218.43900000000002</v>
      </c>
      <c r="L12" s="20">
        <v>234.34100000000001</v>
      </c>
      <c r="M12" s="20">
        <v>230.83099999999999</v>
      </c>
      <c r="N12" s="20">
        <v>185.35899999999998</v>
      </c>
      <c r="O12" s="20">
        <f>911.224-P12-Q12-R12</f>
        <v>224.53800000000004</v>
      </c>
      <c r="P12" s="20">
        <v>276.70100000000002</v>
      </c>
      <c r="Q12" s="20">
        <v>224.929</v>
      </c>
      <c r="R12" s="20">
        <v>185.05600000000001</v>
      </c>
      <c r="S12" s="20">
        <v>206.80799999999999</v>
      </c>
      <c r="T12" s="20">
        <v>214.262</v>
      </c>
      <c r="U12" s="20">
        <v>218.81800000000001</v>
      </c>
      <c r="V12" s="20">
        <v>179.11600000000001</v>
      </c>
      <c r="W12" s="20">
        <v>213.88499999999999</v>
      </c>
      <c r="X12" s="20">
        <v>207.16499999999999</v>
      </c>
    </row>
    <row r="13" spans="1:24" s="21" customFormat="1">
      <c r="A13" s="21" t="s">
        <v>51</v>
      </c>
      <c r="B13" s="151">
        <f>+B12/440-1</f>
        <v>2.4999999999999911E-2</v>
      </c>
      <c r="C13" s="151">
        <f>C12/600-1</f>
        <v>-3.833333333333333E-2</v>
      </c>
      <c r="D13" s="151">
        <f>D12/604-1</f>
        <v>5.1324503311258374E-2</v>
      </c>
      <c r="E13" s="151">
        <f>E12/562-1</f>
        <v>-0.10142348754448394</v>
      </c>
      <c r="G13" s="21">
        <f t="shared" ref="G13:T13" si="0">+G12/K12-1</f>
        <v>-3.0910231231602636E-2</v>
      </c>
      <c r="H13" s="21">
        <f t="shared" si="0"/>
        <v>-3.3071464233744852E-2</v>
      </c>
      <c r="I13" s="21">
        <f t="shared" si="0"/>
        <v>2.4706386923766699E-2</v>
      </c>
      <c r="J13" s="21">
        <f t="shared" si="0"/>
        <v>-8.9879638970860043E-3</v>
      </c>
      <c r="K13" s="21">
        <f t="shared" si="0"/>
        <v>-2.7162440210565797E-2</v>
      </c>
      <c r="L13" s="21">
        <f t="shared" si="0"/>
        <v>-0.15308943588928126</v>
      </c>
      <c r="M13" s="21">
        <f t="shared" si="0"/>
        <v>2.6239391096746001E-2</v>
      </c>
      <c r="N13" s="21">
        <f t="shared" si="0"/>
        <v>1.6373422099253965E-3</v>
      </c>
      <c r="O13" s="21">
        <f t="shared" si="0"/>
        <v>8.5731693164674772E-2</v>
      </c>
      <c r="P13" s="21">
        <f t="shared" si="0"/>
        <v>0.29141424984364939</v>
      </c>
      <c r="Q13" s="21">
        <f t="shared" si="0"/>
        <v>2.7927318593534256E-2</v>
      </c>
      <c r="R13" s="21">
        <f t="shared" si="0"/>
        <v>3.3162866522253642E-2</v>
      </c>
      <c r="S13" s="21">
        <f t="shared" si="0"/>
        <v>-3.3087874324987721E-2</v>
      </c>
      <c r="T13" s="21">
        <f t="shared" si="0"/>
        <v>3.4257717278497912E-2</v>
      </c>
    </row>
    <row r="14" spans="1:24" s="24" customFormat="1">
      <c r="A14" s="22" t="s">
        <v>52</v>
      </c>
      <c r="B14" s="23" t="s">
        <v>3</v>
      </c>
      <c r="C14" s="23" t="s">
        <v>3</v>
      </c>
      <c r="D14" s="23" t="s">
        <v>3</v>
      </c>
      <c r="E14" s="23" t="s">
        <v>3</v>
      </c>
      <c r="F14" s="23"/>
      <c r="G14" s="23" t="s">
        <v>3</v>
      </c>
      <c r="H14" s="23" t="s">
        <v>3</v>
      </c>
      <c r="I14" s="23" t="s">
        <v>3</v>
      </c>
      <c r="J14" s="23" t="s">
        <v>3</v>
      </c>
      <c r="K14" s="23" t="s">
        <v>3</v>
      </c>
      <c r="L14" s="23" t="s">
        <v>3</v>
      </c>
      <c r="M14" s="23" t="s">
        <v>3</v>
      </c>
      <c r="N14" s="23" t="s">
        <v>3</v>
      </c>
      <c r="O14" s="23" t="s">
        <v>3</v>
      </c>
      <c r="P14" s="23" t="s">
        <v>3</v>
      </c>
      <c r="Q14" s="23" t="s">
        <v>3</v>
      </c>
      <c r="R14" s="23" t="s">
        <v>3</v>
      </c>
      <c r="S14" s="23" t="s">
        <v>3</v>
      </c>
      <c r="T14" s="23" t="s">
        <v>3</v>
      </c>
      <c r="U14" s="22"/>
      <c r="V14" s="22"/>
      <c r="W14" s="22"/>
      <c r="X14" s="22"/>
    </row>
    <row r="15" spans="1:24">
      <c r="G15" s="33"/>
    </row>
    <row r="16" spans="1:24" s="17" customFormat="1">
      <c r="A16" s="25" t="s">
        <v>53</v>
      </c>
      <c r="B16" s="26">
        <v>39</v>
      </c>
      <c r="C16" s="26">
        <v>78</v>
      </c>
      <c r="D16" s="26">
        <v>106</v>
      </c>
      <c r="E16" s="26">
        <v>70</v>
      </c>
      <c r="F16" s="26">
        <v>29</v>
      </c>
      <c r="G16" s="26">
        <v>24.221</v>
      </c>
      <c r="H16" s="26">
        <v>29.780999999999999</v>
      </c>
      <c r="I16" s="26">
        <v>31.571000000000002</v>
      </c>
      <c r="J16" s="26">
        <f t="shared" ref="J16:N16" si="1">J22-J21-J20-J19</f>
        <v>6.6370000000000005</v>
      </c>
      <c r="K16" s="26">
        <f t="shared" si="1"/>
        <v>16.207999999999998</v>
      </c>
      <c r="L16" s="26">
        <f t="shared" si="1"/>
        <v>18.438000000000002</v>
      </c>
      <c r="M16" s="26">
        <f t="shared" si="1"/>
        <v>28.414000000000001</v>
      </c>
      <c r="N16" s="26">
        <f t="shared" si="1"/>
        <v>10.038</v>
      </c>
      <c r="O16" s="26">
        <v>25.935999999999993</v>
      </c>
      <c r="P16" s="26">
        <v>45.244</v>
      </c>
      <c r="Q16" s="26">
        <v>26.963000000000001</v>
      </c>
      <c r="R16" s="26">
        <v>9.6509999999999998</v>
      </c>
      <c r="S16" s="26">
        <v>11.507</v>
      </c>
      <c r="T16" s="26">
        <v>17.062000000000001</v>
      </c>
      <c r="U16" s="26">
        <v>28.87</v>
      </c>
      <c r="V16" s="26">
        <v>18.835000000000001</v>
      </c>
      <c r="W16" s="26">
        <v>29.131</v>
      </c>
      <c r="X16" s="26">
        <v>31.143000000000001</v>
      </c>
    </row>
    <row r="17" spans="1:24" s="21" customFormat="1">
      <c r="A17" s="21" t="s">
        <v>54</v>
      </c>
      <c r="B17" s="21">
        <f t="shared" ref="B17" si="2">+B16/B12</f>
        <v>8.6474501108647447E-2</v>
      </c>
      <c r="C17" s="21">
        <f t="shared" ref="C17:D17" si="3">+C16/C12</f>
        <v>0.13518197573656845</v>
      </c>
      <c r="D17" s="21">
        <f t="shared" si="3"/>
        <v>0.16692913385826771</v>
      </c>
      <c r="E17" s="21">
        <f t="shared" ref="E17:F17" si="4">+E16/E12</f>
        <v>0.13861386138613863</v>
      </c>
      <c r="F17" s="21">
        <f t="shared" si="4"/>
        <v>6.9879518072289162E-2</v>
      </c>
      <c r="G17" s="21">
        <f t="shared" ref="G17:H17" si="5">+G16/G12</f>
        <v>0.11441892983508671</v>
      </c>
      <c r="H17" s="21">
        <f t="shared" si="5"/>
        <v>0.13143063934578159</v>
      </c>
      <c r="I17" s="21">
        <f t="shared" ref="I17" si="6">+I16/I12</f>
        <v>0.13347341185622363</v>
      </c>
      <c r="J17" s="21">
        <f t="shared" ref="J17" si="7">+J16/J12</f>
        <v>3.6130935854931871E-2</v>
      </c>
      <c r="K17" s="21">
        <f t="shared" ref="K17:P17" si="8">+K16/K12</f>
        <v>7.419920435453374E-2</v>
      </c>
      <c r="L17" s="21">
        <f t="shared" si="8"/>
        <v>7.8680213876359678E-2</v>
      </c>
      <c r="M17" s="21">
        <f t="shared" si="8"/>
        <v>0.12309438506959638</v>
      </c>
      <c r="N17" s="21">
        <f t="shared" si="8"/>
        <v>5.4154370707653804E-2</v>
      </c>
      <c r="O17" s="21">
        <f t="shared" si="8"/>
        <v>0.11550828812940343</v>
      </c>
      <c r="P17" s="21">
        <f t="shared" si="8"/>
        <v>0.16351223884264962</v>
      </c>
      <c r="Q17" s="21">
        <f>+Q16/Q12</f>
        <v>0.11987338226729324</v>
      </c>
      <c r="R17" s="21">
        <f t="shared" ref="R17:X17" si="9">+R16/R12</f>
        <v>5.2151781082483133E-2</v>
      </c>
      <c r="S17" s="21">
        <f t="shared" si="9"/>
        <v>5.5640981006537464E-2</v>
      </c>
      <c r="T17" s="21">
        <f t="shared" si="9"/>
        <v>7.9631479217033355E-2</v>
      </c>
      <c r="U17" s="21">
        <f t="shared" si="9"/>
        <v>0.13193612956886544</v>
      </c>
      <c r="V17" s="21">
        <f t="shared" si="9"/>
        <v>0.10515531834118672</v>
      </c>
      <c r="W17" s="21">
        <f t="shared" si="9"/>
        <v>0.13619935946887346</v>
      </c>
      <c r="X17" s="21">
        <f t="shared" si="9"/>
        <v>0.15032944754181451</v>
      </c>
    </row>
    <row r="18" spans="1:24" s="24" customFormat="1"/>
    <row r="19" spans="1:24"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row>
    <row r="20" spans="1:24"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row>
    <row r="21" spans="1:24" s="24" customFormat="1">
      <c r="A21" s="19" t="s">
        <v>57</v>
      </c>
      <c r="B21" s="20">
        <v>0</v>
      </c>
      <c r="C21" s="20">
        <v>0</v>
      </c>
      <c r="D21" s="20">
        <v>0</v>
      </c>
      <c r="E21" s="20">
        <v>0</v>
      </c>
      <c r="F21" s="20">
        <v>0</v>
      </c>
      <c r="G21" s="20">
        <v>0</v>
      </c>
      <c r="H21" s="20">
        <v>0</v>
      </c>
      <c r="I21" s="20">
        <v>0</v>
      </c>
      <c r="J21" s="20">
        <f>3.958+2.616</f>
        <v>6.5739999999999998</v>
      </c>
      <c r="K21" s="20">
        <f>1.904+4.91</f>
        <v>6.8140000000000001</v>
      </c>
      <c r="L21" s="20">
        <f>10.729+4.92</f>
        <v>15.648999999999999</v>
      </c>
      <c r="M21" s="20">
        <f>1.452+5.545</f>
        <v>6.9969999999999999</v>
      </c>
      <c r="N21" s="20">
        <f>7.745+0.674+1.675</f>
        <v>10.094000000000001</v>
      </c>
      <c r="O21" s="20">
        <f t="shared" ref="O21" si="10">O22-O16-O19-O20</f>
        <v>8.0570000000000093</v>
      </c>
      <c r="P21" s="20">
        <v>5.0380000000000003</v>
      </c>
      <c r="Q21" s="20">
        <f>Q22-Q16-Q19-Q20</f>
        <v>4.2369999999999983</v>
      </c>
      <c r="R21" s="20">
        <f t="shared" ref="R21:X21" si="11">R22-R16-R19-R20</f>
        <v>10.384999999999998</v>
      </c>
      <c r="S21" s="20">
        <f t="shared" si="11"/>
        <v>14.276999999999999</v>
      </c>
      <c r="T21" s="20">
        <f t="shared" si="11"/>
        <v>17.148999999999997</v>
      </c>
      <c r="U21" s="20">
        <f t="shared" si="11"/>
        <v>5.8739999999999988</v>
      </c>
      <c r="V21" s="20">
        <f t="shared" si="11"/>
        <v>2.0120000000000005</v>
      </c>
      <c r="W21" s="20">
        <f t="shared" si="11"/>
        <v>5.0850000000000009</v>
      </c>
      <c r="X21" s="20">
        <f t="shared" si="11"/>
        <v>7.2089999999999961</v>
      </c>
    </row>
    <row r="22" spans="1:24" s="17" customFormat="1">
      <c r="A22" s="17" t="s">
        <v>58</v>
      </c>
      <c r="B22" s="65">
        <f t="shared" ref="B22:C22" si="12">B16+B19+B20+B21</f>
        <v>39</v>
      </c>
      <c r="C22" s="65">
        <f t="shared" si="12"/>
        <v>78</v>
      </c>
      <c r="D22" s="65">
        <f t="shared" ref="D22:I22" si="13">D16+D19+D20+D21</f>
        <v>106</v>
      </c>
      <c r="E22" s="65">
        <f t="shared" si="13"/>
        <v>70</v>
      </c>
      <c r="F22" s="65">
        <f t="shared" si="13"/>
        <v>29</v>
      </c>
      <c r="G22" s="65">
        <f t="shared" si="13"/>
        <v>24.221</v>
      </c>
      <c r="H22" s="65">
        <f t="shared" si="13"/>
        <v>29.780999999999999</v>
      </c>
      <c r="I22" s="65">
        <f t="shared" si="13"/>
        <v>31.571000000000002</v>
      </c>
      <c r="J22" s="46">
        <v>13.211</v>
      </c>
      <c r="K22" s="46">
        <v>23.021999999999998</v>
      </c>
      <c r="L22" s="46">
        <v>34.087000000000003</v>
      </c>
      <c r="M22" s="46">
        <v>35.411000000000001</v>
      </c>
      <c r="N22" s="46">
        <v>20.132000000000001</v>
      </c>
      <c r="O22" s="27">
        <v>33.993000000000002</v>
      </c>
      <c r="P22" s="27">
        <f>P16+P19+P20+P21</f>
        <v>50.281999999999996</v>
      </c>
      <c r="Q22" s="27">
        <v>31.2</v>
      </c>
      <c r="R22" s="27">
        <v>20.035999999999998</v>
      </c>
      <c r="S22" s="27">
        <v>25.783999999999999</v>
      </c>
      <c r="T22" s="27">
        <v>34.210999999999999</v>
      </c>
      <c r="U22" s="27">
        <v>34.744</v>
      </c>
      <c r="V22" s="27">
        <v>20.847000000000001</v>
      </c>
      <c r="W22" s="27">
        <v>34.216000000000001</v>
      </c>
      <c r="X22" s="27">
        <v>38.351999999999997</v>
      </c>
    </row>
    <row r="23" spans="1:24" s="17" customFormat="1">
      <c r="B23" s="21"/>
      <c r="C23" s="21"/>
      <c r="D23" s="21"/>
      <c r="E23" s="21"/>
      <c r="F23" s="21"/>
      <c r="G23" s="21"/>
      <c r="H23" s="21"/>
      <c r="I23" s="21"/>
      <c r="J23" s="21"/>
      <c r="K23" s="21"/>
      <c r="L23" s="21"/>
      <c r="M23" s="27"/>
      <c r="N23" s="27"/>
      <c r="O23" s="27"/>
      <c r="P23" s="27"/>
      <c r="Q23" s="27"/>
      <c r="R23" s="27"/>
      <c r="S23" s="27"/>
      <c r="T23" s="27"/>
      <c r="U23" s="27"/>
      <c r="V23" s="27"/>
      <c r="W23" s="27"/>
      <c r="X23" s="27"/>
    </row>
    <row r="24" spans="1:24" s="17" customFormat="1">
      <c r="A24" s="17" t="s">
        <v>59</v>
      </c>
      <c r="B24" s="46">
        <f>C24+B22-31</f>
        <v>283</v>
      </c>
      <c r="C24" s="46">
        <f>D24+C22-89</f>
        <v>275</v>
      </c>
      <c r="D24" s="46">
        <f>E24+D22-94</f>
        <v>286</v>
      </c>
      <c r="E24" s="46">
        <f>70+29+81+94</f>
        <v>274</v>
      </c>
      <c r="F24" s="27"/>
      <c r="G24" s="27">
        <f t="shared" ref="G24:M24" si="14">SUM(G22:J22)</f>
        <v>98.783999999999992</v>
      </c>
      <c r="H24" s="27">
        <f t="shared" si="14"/>
        <v>97.585000000000008</v>
      </c>
      <c r="I24" s="27">
        <f t="shared" si="14"/>
        <v>101.89100000000001</v>
      </c>
      <c r="J24" s="27">
        <f t="shared" si="14"/>
        <v>105.73099999999999</v>
      </c>
      <c r="K24" s="27">
        <f t="shared" si="14"/>
        <v>112.65200000000002</v>
      </c>
      <c r="L24" s="27">
        <f t="shared" si="14"/>
        <v>123.62300000000002</v>
      </c>
      <c r="M24" s="27">
        <f t="shared" si="14"/>
        <v>139.81799999999998</v>
      </c>
      <c r="N24" s="27">
        <f t="shared" ref="N24:U24" si="15">SUM(N22:Q22)</f>
        <v>135.607</v>
      </c>
      <c r="O24" s="27">
        <f t="shared" si="15"/>
        <v>135.511</v>
      </c>
      <c r="P24" s="27">
        <f t="shared" si="15"/>
        <v>127.30199999999999</v>
      </c>
      <c r="Q24" s="27">
        <f t="shared" si="15"/>
        <v>111.23099999999999</v>
      </c>
      <c r="R24" s="27">
        <f t="shared" si="15"/>
        <v>114.77499999999999</v>
      </c>
      <c r="S24" s="27">
        <f t="shared" si="15"/>
        <v>115.58600000000001</v>
      </c>
      <c r="T24" s="27">
        <f t="shared" si="15"/>
        <v>124.018</v>
      </c>
      <c r="U24" s="27">
        <f t="shared" si="15"/>
        <v>128.15899999999999</v>
      </c>
      <c r="V24" s="27"/>
      <c r="W24" s="27"/>
      <c r="X24" s="27"/>
    </row>
    <row r="25" spans="1:24" s="24" customFormat="1">
      <c r="A25" s="19" t="s">
        <v>60</v>
      </c>
      <c r="B25" s="28">
        <f>366-B24</f>
        <v>83</v>
      </c>
      <c r="C25" s="28">
        <f>356.068-C24</f>
        <v>81.067999999999984</v>
      </c>
      <c r="D25" s="28">
        <f>326-D24</f>
        <v>40</v>
      </c>
      <c r="E25" s="28">
        <f>320-E24</f>
        <v>46</v>
      </c>
      <c r="F25" s="28"/>
      <c r="G25" s="28">
        <f>98.766-G24</f>
        <v>-1.7999999999986471E-2</v>
      </c>
      <c r="H25" s="28">
        <f>96.167-H24</f>
        <v>-1.4180000000000064</v>
      </c>
      <c r="I25" s="28">
        <f>99.654-I24</f>
        <v>-2.237000000000009</v>
      </c>
      <c r="J25" s="28">
        <f>105.636-J24</f>
        <v>-9.4999999999998863E-2</v>
      </c>
      <c r="K25" s="28">
        <f>112.557-K24</f>
        <v>-9.5000000000013074E-2</v>
      </c>
      <c r="L25" s="28">
        <f>110.026-L24</f>
        <v>-13.597000000000023</v>
      </c>
      <c r="M25" s="28">
        <f>132.849-M24</f>
        <v>-6.9689999999999941</v>
      </c>
      <c r="N25" s="28">
        <f>130.668-N24</f>
        <v>-4.938999999999993</v>
      </c>
      <c r="O25" s="28">
        <v>0</v>
      </c>
      <c r="P25" s="28">
        <v>0</v>
      </c>
      <c r="Q25" s="28">
        <v>0</v>
      </c>
      <c r="R25" s="28">
        <v>0</v>
      </c>
      <c r="S25" s="28">
        <v>0</v>
      </c>
      <c r="T25" s="28">
        <v>0</v>
      </c>
      <c r="U25" s="28">
        <v>0</v>
      </c>
      <c r="V25" s="28"/>
      <c r="W25" s="28"/>
      <c r="X25" s="28"/>
    </row>
    <row r="26" spans="1:24" s="24" customFormat="1">
      <c r="A26" s="19" t="s">
        <v>61</v>
      </c>
      <c r="B26" s="29">
        <f>464-B25-B24</f>
        <v>98</v>
      </c>
      <c r="C26" s="29">
        <v>0</v>
      </c>
      <c r="D26" s="29">
        <v>0</v>
      </c>
      <c r="E26" s="29">
        <v>0</v>
      </c>
      <c r="F26" s="29"/>
      <c r="G26" s="29">
        <v>0</v>
      </c>
      <c r="H26" s="29">
        <v>0</v>
      </c>
      <c r="I26" s="29">
        <v>0</v>
      </c>
      <c r="J26" s="29">
        <v>0</v>
      </c>
      <c r="K26" s="29">
        <v>0</v>
      </c>
      <c r="L26" s="29">
        <v>0</v>
      </c>
      <c r="M26" s="29">
        <v>0</v>
      </c>
      <c r="N26" s="29">
        <v>0</v>
      </c>
      <c r="O26" s="29">
        <v>0</v>
      </c>
      <c r="P26" s="29">
        <v>0</v>
      </c>
      <c r="Q26" s="29">
        <v>0</v>
      </c>
      <c r="R26" s="29">
        <v>0</v>
      </c>
      <c r="S26" s="29">
        <v>0</v>
      </c>
      <c r="T26" s="29">
        <v>0</v>
      </c>
      <c r="U26" s="29">
        <v>0</v>
      </c>
      <c r="V26" s="30"/>
      <c r="W26" s="30"/>
      <c r="X26" s="30"/>
    </row>
    <row r="27" spans="1:24" s="32" customFormat="1">
      <c r="A27" s="17" t="s">
        <v>62</v>
      </c>
      <c r="B27" s="27">
        <f t="shared" ref="B27:C27" si="16">SUM(B24:B26)</f>
        <v>464</v>
      </c>
      <c r="C27" s="27">
        <f t="shared" si="16"/>
        <v>356.06799999999998</v>
      </c>
      <c r="D27" s="27">
        <f t="shared" ref="D27:E27" si="17">SUM(D24:D26)</f>
        <v>326</v>
      </c>
      <c r="E27" s="27">
        <f t="shared" si="17"/>
        <v>320</v>
      </c>
      <c r="F27" s="27"/>
      <c r="G27" s="27">
        <f t="shared" ref="G27" si="18">SUM(G24:G26)</f>
        <v>98.766000000000005</v>
      </c>
      <c r="H27" s="27">
        <f t="shared" ref="H27:J27" si="19">SUM(H24:H26)</f>
        <v>96.167000000000002</v>
      </c>
      <c r="I27" s="27">
        <f t="shared" si="19"/>
        <v>99.653999999999996</v>
      </c>
      <c r="J27" s="27">
        <f t="shared" si="19"/>
        <v>105.636</v>
      </c>
      <c r="K27" s="27">
        <f t="shared" ref="K27:O27" si="20">SUM(K24:K26)</f>
        <v>112.557</v>
      </c>
      <c r="L27" s="27">
        <f t="shared" si="20"/>
        <v>110.026</v>
      </c>
      <c r="M27" s="27">
        <f t="shared" si="20"/>
        <v>132.84899999999999</v>
      </c>
      <c r="N27" s="27">
        <f t="shared" si="20"/>
        <v>130.66800000000001</v>
      </c>
      <c r="O27" s="27">
        <f t="shared" si="20"/>
        <v>135.511</v>
      </c>
      <c r="P27" s="27">
        <f t="shared" ref="P27:U27" si="21">SUM(P24:P26)</f>
        <v>127.30199999999999</v>
      </c>
      <c r="Q27" s="27">
        <f t="shared" si="21"/>
        <v>111.23099999999999</v>
      </c>
      <c r="R27" s="27">
        <f t="shared" si="21"/>
        <v>114.77499999999999</v>
      </c>
      <c r="S27" s="27">
        <f t="shared" si="21"/>
        <v>115.58600000000001</v>
      </c>
      <c r="T27" s="27">
        <f t="shared" si="21"/>
        <v>124.018</v>
      </c>
      <c r="U27" s="27">
        <f t="shared" si="21"/>
        <v>128.15899999999999</v>
      </c>
      <c r="V27" s="31"/>
      <c r="W27" s="31"/>
      <c r="X27" s="31"/>
    </row>
    <row r="28" spans="1:24" s="24" customFormat="1"/>
    <row r="29" spans="1:24" s="17" customFormat="1">
      <c r="A29" s="17" t="s">
        <v>58</v>
      </c>
      <c r="B29" s="27">
        <f t="shared" ref="B29:D29" si="22">B22</f>
        <v>39</v>
      </c>
      <c r="C29" s="27">
        <f t="shared" si="22"/>
        <v>78</v>
      </c>
      <c r="D29" s="27">
        <f t="shared" si="22"/>
        <v>106</v>
      </c>
      <c r="E29" s="27">
        <f t="shared" ref="E29:G29" si="23">E22</f>
        <v>70</v>
      </c>
      <c r="F29" s="27">
        <f t="shared" si="23"/>
        <v>29</v>
      </c>
      <c r="G29" s="27">
        <f t="shared" si="23"/>
        <v>24.221</v>
      </c>
      <c r="H29" s="27">
        <f t="shared" ref="H29:J29" si="24">H22</f>
        <v>29.780999999999999</v>
      </c>
      <c r="I29" s="27">
        <f t="shared" si="24"/>
        <v>31.571000000000002</v>
      </c>
      <c r="J29" s="27">
        <f t="shared" si="24"/>
        <v>13.211</v>
      </c>
      <c r="K29" s="27">
        <f t="shared" ref="K29:O29" si="25">K22</f>
        <v>23.021999999999998</v>
      </c>
      <c r="L29" s="27">
        <f t="shared" si="25"/>
        <v>34.087000000000003</v>
      </c>
      <c r="M29" s="27">
        <f t="shared" si="25"/>
        <v>35.411000000000001</v>
      </c>
      <c r="N29" s="27">
        <f t="shared" si="25"/>
        <v>20.132000000000001</v>
      </c>
      <c r="O29" s="27">
        <f t="shared" si="25"/>
        <v>33.993000000000002</v>
      </c>
      <c r="P29" s="27">
        <f>P22</f>
        <v>50.281999999999996</v>
      </c>
      <c r="Q29" s="27">
        <f t="shared" ref="Q29:X29" si="26">Q22</f>
        <v>31.2</v>
      </c>
      <c r="R29" s="27">
        <f t="shared" si="26"/>
        <v>20.035999999999998</v>
      </c>
      <c r="S29" s="27">
        <f t="shared" si="26"/>
        <v>25.783999999999999</v>
      </c>
      <c r="T29" s="27">
        <f t="shared" si="26"/>
        <v>34.210999999999999</v>
      </c>
      <c r="U29" s="27">
        <f t="shared" si="26"/>
        <v>34.744</v>
      </c>
      <c r="V29" s="27">
        <f t="shared" si="26"/>
        <v>20.847000000000001</v>
      </c>
      <c r="W29" s="27">
        <f t="shared" si="26"/>
        <v>34.216000000000001</v>
      </c>
      <c r="X29" s="27">
        <f t="shared" si="26"/>
        <v>38.351999999999997</v>
      </c>
    </row>
    <row r="30" spans="1:24" s="33" customFormat="1">
      <c r="A30" s="20" t="s">
        <v>63</v>
      </c>
      <c r="B30" s="20"/>
      <c r="C30" s="20"/>
      <c r="D30" s="20"/>
      <c r="E30" s="20"/>
      <c r="F30" s="20"/>
      <c r="G30" s="20"/>
      <c r="H30" s="20"/>
      <c r="I30" s="20"/>
      <c r="J30" s="20"/>
      <c r="K30" s="20"/>
      <c r="L30" s="20"/>
      <c r="M30" s="20"/>
      <c r="N30" s="20"/>
      <c r="O30" s="20"/>
      <c r="P30" s="20"/>
      <c r="Q30" s="20"/>
      <c r="R30" s="20"/>
      <c r="S30" s="20"/>
      <c r="T30" s="20"/>
      <c r="U30" s="20"/>
      <c r="V30" s="20"/>
      <c r="W30" s="20"/>
      <c r="X30" s="20"/>
    </row>
    <row r="31" spans="1:24" s="33" customFormat="1">
      <c r="A31" s="20" t="s">
        <v>64</v>
      </c>
      <c r="B31" s="20"/>
      <c r="C31" s="20"/>
      <c r="D31" s="20"/>
      <c r="E31" s="20"/>
      <c r="F31" s="20"/>
      <c r="G31" s="20"/>
      <c r="H31" s="20"/>
      <c r="I31" s="20"/>
      <c r="J31" s="20"/>
      <c r="K31" s="20"/>
      <c r="L31" s="20"/>
      <c r="M31" s="20"/>
      <c r="N31" s="20"/>
      <c r="O31" s="20"/>
      <c r="P31" s="20"/>
      <c r="Q31" s="20"/>
      <c r="R31" s="20"/>
      <c r="S31" s="20"/>
      <c r="T31" s="20"/>
      <c r="U31" s="20"/>
      <c r="V31" s="20"/>
      <c r="W31" s="20"/>
      <c r="X31" s="20"/>
    </row>
    <row r="32" spans="1:24" s="33" customFormat="1">
      <c r="A32" s="20" t="s">
        <v>65</v>
      </c>
      <c r="B32" s="20">
        <f>5.148+2.259-1.109+8.471-2.105</f>
        <v>12.664</v>
      </c>
      <c r="C32" s="20">
        <f>19.186-11.267+1.131-5.513+77.698-D32-E32-F32</f>
        <v>120.01199999999999</v>
      </c>
      <c r="D32" s="20">
        <v>-77.981999999999999</v>
      </c>
      <c r="E32" s="20">
        <v>36.637</v>
      </c>
      <c r="F32" s="20">
        <f>-7.068-3.173+0.071+12.738</f>
        <v>2.5679999999999996</v>
      </c>
      <c r="G32" s="20">
        <f>40.437+2.738+0.499-0.409-1.366-H32-I32-J32</f>
        <v>10.266000000000002</v>
      </c>
      <c r="H32" s="20">
        <v>30.16</v>
      </c>
      <c r="I32" s="20">
        <v>-14.757</v>
      </c>
      <c r="J32" s="20">
        <v>16.23</v>
      </c>
      <c r="K32" s="20">
        <f>22.61-0.587+0.743-1.696-22.806-25.772+0.368-0.968+0.513+30.076-L32-M32-N32</f>
        <v>-1.7329999999999917</v>
      </c>
      <c r="L32" s="20">
        <v>35.189</v>
      </c>
      <c r="M32" s="20">
        <v>-37.392000000000003</v>
      </c>
      <c r="N32" s="20">
        <v>6.4169999999999963</v>
      </c>
      <c r="O32" s="20">
        <f>-21.591-0.834-1.07+2.035+13.428-P32-Q32-R32</f>
        <v>36.149999999999991</v>
      </c>
      <c r="P32" s="20">
        <v>-41.808999999999997</v>
      </c>
      <c r="Q32" s="20">
        <v>-27.997999999999994</v>
      </c>
      <c r="R32" s="20">
        <v>25.625</v>
      </c>
      <c r="S32" s="20">
        <v>4.0609999999999999</v>
      </c>
      <c r="T32" s="20">
        <v>3.3669999999999991</v>
      </c>
      <c r="U32" s="20">
        <v>-7.0160000000000009</v>
      </c>
      <c r="V32" s="20">
        <v>11.682</v>
      </c>
      <c r="W32" s="20"/>
      <c r="X32" s="20"/>
    </row>
    <row r="33" spans="1:26" s="33" customFormat="1">
      <c r="A33" s="20" t="s">
        <v>66</v>
      </c>
      <c r="B33" s="20"/>
      <c r="C33" s="20"/>
      <c r="D33" s="20"/>
      <c r="E33" s="20"/>
      <c r="F33" s="20"/>
      <c r="G33" s="20"/>
      <c r="H33" s="20"/>
      <c r="I33" s="20"/>
      <c r="J33" s="20"/>
      <c r="K33" s="20"/>
      <c r="L33" s="20"/>
      <c r="M33" s="20"/>
      <c r="N33" s="20"/>
      <c r="O33" s="20"/>
      <c r="P33" s="20"/>
      <c r="Q33" s="20"/>
      <c r="R33" s="20"/>
      <c r="S33" s="20"/>
      <c r="T33" s="20"/>
      <c r="U33" s="20"/>
      <c r="V33" s="20"/>
      <c r="W33" s="20"/>
      <c r="X33" s="20"/>
    </row>
    <row r="34" spans="1:26" s="33" customFormat="1">
      <c r="A34" s="20" t="s">
        <v>57</v>
      </c>
      <c r="B34" s="29"/>
      <c r="C34" s="29"/>
      <c r="D34" s="29"/>
      <c r="E34" s="29"/>
      <c r="F34" s="29"/>
      <c r="G34" s="29"/>
      <c r="H34" s="29"/>
      <c r="I34" s="29"/>
      <c r="J34" s="29"/>
      <c r="K34" s="29"/>
      <c r="L34" s="29"/>
      <c r="M34" s="29"/>
      <c r="N34" s="29"/>
      <c r="O34" s="29"/>
      <c r="P34" s="29"/>
      <c r="Q34" s="29"/>
      <c r="R34" s="29"/>
      <c r="S34" s="29"/>
      <c r="T34" s="29"/>
      <c r="U34" s="29"/>
      <c r="V34" s="29"/>
      <c r="W34" s="29"/>
      <c r="X34" s="29"/>
    </row>
    <row r="35" spans="1:26" s="27" customFormat="1">
      <c r="A35" s="27" t="s">
        <v>67</v>
      </c>
      <c r="B35" s="27">
        <v>11.756</v>
      </c>
      <c r="C35" s="27">
        <f>157.319-D35-E35-F35</f>
        <v>129.02399999999997</v>
      </c>
      <c r="D35" s="27">
        <v>-14.124000000000001</v>
      </c>
      <c r="E35" s="27">
        <v>51.036999999999999</v>
      </c>
      <c r="F35" s="27">
        <v>-8.6180000000000003</v>
      </c>
      <c r="G35" s="27">
        <f>38.657-H35-I35-J35</f>
        <v>4.2419999999999964</v>
      </c>
      <c r="H35" s="27">
        <v>35.420999999999999</v>
      </c>
      <c r="I35" s="27">
        <v>-8.8209999999999997</v>
      </c>
      <c r="J35" s="27">
        <v>7.8150000000000004</v>
      </c>
      <c r="K35" s="27">
        <f>-1.978+6.019-L35-M35-N35</f>
        <v>-1.9770000000000003</v>
      </c>
      <c r="L35" s="27">
        <v>25.939</v>
      </c>
      <c r="M35" s="27">
        <v>-25.728999999999999</v>
      </c>
      <c r="N35" s="27">
        <v>5.8079999999999998</v>
      </c>
      <c r="O35" s="27">
        <f>64.821-P35-Q35-R35</f>
        <v>48.503999999999998</v>
      </c>
      <c r="P35" s="27">
        <v>-2.504</v>
      </c>
      <c r="Q35" s="27">
        <v>-8.9009999999999998</v>
      </c>
      <c r="R35" s="27">
        <v>27.722000000000001</v>
      </c>
      <c r="S35" s="27">
        <v>7.2859999999999996</v>
      </c>
      <c r="T35" s="27">
        <v>9.6319999999999997</v>
      </c>
      <c r="U35" s="27">
        <v>14.798</v>
      </c>
      <c r="V35" s="27">
        <v>20.614999999999998</v>
      </c>
      <c r="W35" s="27">
        <v>5.6859999999999999</v>
      </c>
      <c r="X35" s="27">
        <v>14.721</v>
      </c>
    </row>
    <row r="36" spans="1:26" s="33" customFormat="1">
      <c r="A36" s="20" t="s">
        <v>68</v>
      </c>
      <c r="B36" s="29">
        <f>-16.446+1.885</f>
        <v>-14.561000000000002</v>
      </c>
      <c r="C36" s="29">
        <f>-63.61+7.393-D36-E36-F36</f>
        <v>-12.620999999999997</v>
      </c>
      <c r="D36" s="29">
        <f>-20.327+3.977</f>
        <v>-16.350000000000001</v>
      </c>
      <c r="E36" s="29">
        <f>-17.841+0.695</f>
        <v>-17.146000000000001</v>
      </c>
      <c r="F36" s="29">
        <f>-11.275+1.175</f>
        <v>-10.1</v>
      </c>
      <c r="G36" s="29">
        <f>-31.453+7.429-H36-I36-J36</f>
        <v>-7.8129999999999988</v>
      </c>
      <c r="H36" s="29">
        <f>-8.704-1.364</f>
        <v>-10.068000000000001</v>
      </c>
      <c r="I36" s="29">
        <f>-6.729+2.871</f>
        <v>-3.8580000000000001</v>
      </c>
      <c r="J36" s="29">
        <f>-3.102+0.817</f>
        <v>-2.2850000000000001</v>
      </c>
      <c r="K36" s="29">
        <f>-6.79-24.474+1.042+1.961-L36-M36-N36</f>
        <v>-5.7479999999999993</v>
      </c>
      <c r="L36" s="29">
        <f>-2.516+1.769</f>
        <v>-0.74700000000000011</v>
      </c>
      <c r="M36" s="29">
        <v>-12.22</v>
      </c>
      <c r="N36" s="29">
        <f>-9.738+0.192</f>
        <v>-9.5459999999999994</v>
      </c>
      <c r="O36" s="29">
        <f>-46.055+7.688-P36-Q36-R36</f>
        <v>-10.910999999999994</v>
      </c>
      <c r="P36" s="29">
        <v>-8.5269999999999992</v>
      </c>
      <c r="Q36" s="29">
        <v>-10.085000000000001</v>
      </c>
      <c r="R36" s="29">
        <v>-8.8440000000000012</v>
      </c>
      <c r="S36" s="29">
        <v>-4.3640000000000008</v>
      </c>
      <c r="T36" s="29">
        <v>-12.311</v>
      </c>
      <c r="U36" s="29">
        <v>-13.586</v>
      </c>
      <c r="V36" s="29">
        <v>-12.677999999999999</v>
      </c>
      <c r="W36" s="29">
        <v>-7.6790000000000003</v>
      </c>
      <c r="X36" s="29">
        <v>-9.8260000000000005</v>
      </c>
    </row>
    <row r="37" spans="1:26" s="27" customFormat="1">
      <c r="A37" s="27" t="s">
        <v>69</v>
      </c>
      <c r="B37" s="27">
        <f t="shared" ref="B37:O37" si="27">+B35+B36</f>
        <v>-2.8050000000000015</v>
      </c>
      <c r="C37" s="27">
        <f t="shared" si="27"/>
        <v>116.40299999999998</v>
      </c>
      <c r="D37" s="27">
        <f t="shared" si="27"/>
        <v>-30.474000000000004</v>
      </c>
      <c r="E37" s="27">
        <f t="shared" si="27"/>
        <v>33.890999999999998</v>
      </c>
      <c r="F37" s="27">
        <f t="shared" si="27"/>
        <v>-18.718</v>
      </c>
      <c r="G37" s="27">
        <f t="shared" si="27"/>
        <v>-3.5710000000000024</v>
      </c>
      <c r="H37" s="27">
        <f t="shared" si="27"/>
        <v>25.352999999999998</v>
      </c>
      <c r="I37" s="27">
        <f t="shared" si="27"/>
        <v>-12.679</v>
      </c>
      <c r="J37" s="27">
        <f t="shared" si="27"/>
        <v>5.53</v>
      </c>
      <c r="K37" s="27">
        <f t="shared" si="27"/>
        <v>-7.7249999999999996</v>
      </c>
      <c r="L37" s="27">
        <f t="shared" si="27"/>
        <v>25.192</v>
      </c>
      <c r="M37" s="27">
        <f t="shared" si="27"/>
        <v>-37.948999999999998</v>
      </c>
      <c r="N37" s="27">
        <f t="shared" si="27"/>
        <v>-3.7379999999999995</v>
      </c>
      <c r="O37" s="27">
        <f t="shared" si="27"/>
        <v>37.593000000000004</v>
      </c>
      <c r="P37" s="27">
        <f>+P35+P36</f>
        <v>-11.030999999999999</v>
      </c>
      <c r="Q37" s="27">
        <f>+Q35+Q36</f>
        <v>-18.986000000000001</v>
      </c>
      <c r="R37" s="27">
        <f t="shared" ref="R37:X37" si="28">+R35+R36</f>
        <v>18.878</v>
      </c>
      <c r="S37" s="27">
        <f t="shared" si="28"/>
        <v>2.9219999999999988</v>
      </c>
      <c r="T37" s="27">
        <f t="shared" si="28"/>
        <v>-2.6790000000000003</v>
      </c>
      <c r="U37" s="27">
        <f t="shared" si="28"/>
        <v>1.2119999999999997</v>
      </c>
      <c r="V37" s="27">
        <f t="shared" si="28"/>
        <v>7.9369999999999994</v>
      </c>
      <c r="W37" s="27">
        <f t="shared" si="28"/>
        <v>-1.9930000000000003</v>
      </c>
      <c r="X37" s="27">
        <f t="shared" si="28"/>
        <v>4.8949999999999996</v>
      </c>
    </row>
    <row r="39" spans="1:26" s="35" customFormat="1">
      <c r="A39" s="34" t="s">
        <v>70</v>
      </c>
      <c r="B39" s="20">
        <v>0</v>
      </c>
      <c r="C39" s="20">
        <v>0</v>
      </c>
      <c r="D39" s="20">
        <v>110</v>
      </c>
      <c r="E39" s="20">
        <f>17+89</f>
        <v>106</v>
      </c>
      <c r="F39" s="20">
        <f>33</f>
        <v>33</v>
      </c>
      <c r="G39" s="20">
        <f>33</f>
        <v>33</v>
      </c>
      <c r="H39" s="20">
        <v>0</v>
      </c>
      <c r="I39" s="20">
        <v>11</v>
      </c>
      <c r="J39" s="20">
        <v>3</v>
      </c>
      <c r="K39" s="20">
        <v>0</v>
      </c>
      <c r="L39" s="20">
        <v>0</v>
      </c>
      <c r="M39" s="20">
        <v>41</v>
      </c>
      <c r="N39" s="20">
        <v>0</v>
      </c>
      <c r="O39" s="20">
        <v>0</v>
      </c>
      <c r="P39" s="20">
        <v>19</v>
      </c>
      <c r="Q39" s="20">
        <v>6</v>
      </c>
      <c r="R39" s="20">
        <v>0</v>
      </c>
      <c r="S39" s="20">
        <v>0</v>
      </c>
      <c r="T39" s="20">
        <v>0</v>
      </c>
      <c r="U39" s="20">
        <v>0</v>
      </c>
      <c r="V39" s="20"/>
      <c r="W39" s="20"/>
      <c r="X39" s="20"/>
      <c r="Z39" s="33"/>
    </row>
    <row r="40" spans="1:26" s="35" customFormat="1">
      <c r="A40" s="34" t="s">
        <v>71</v>
      </c>
      <c r="B40" s="20">
        <f>1352+987+123</f>
        <v>2462</v>
      </c>
      <c r="C40" s="20">
        <f>578.513+986.7+118.861</f>
        <v>1684.0740000000003</v>
      </c>
      <c r="D40" s="20">
        <f>578.513+736.7+120.432</f>
        <v>1435.6450000000002</v>
      </c>
      <c r="E40" s="20">
        <f>578.513+586.735+115.002</f>
        <v>1280.25</v>
      </c>
      <c r="F40" s="20">
        <f>579+108+575</f>
        <v>1262</v>
      </c>
      <c r="G40" s="20">
        <f>579+108+575</f>
        <v>1262</v>
      </c>
      <c r="H40" s="20">
        <f>578.513+108.636-10</f>
        <v>677.149</v>
      </c>
      <c r="I40" s="20">
        <f>578.513+99.95+0.007-10</f>
        <v>668.47</v>
      </c>
      <c r="J40" s="20">
        <f>578.513+90.847+0.013-10</f>
        <v>659.37300000000005</v>
      </c>
      <c r="K40" s="20">
        <f>578.513+44.554-10+0.023</f>
        <v>613.09</v>
      </c>
      <c r="L40" s="20">
        <f>578.513+42.063-10+0.04</f>
        <v>610.61599999999999</v>
      </c>
      <c r="M40" s="20">
        <f>593.513+38.789-10+0.087</f>
        <v>622.38900000000001</v>
      </c>
      <c r="N40" s="20">
        <f>595+10</f>
        <v>605</v>
      </c>
      <c r="O40" s="20">
        <f>442+10</f>
        <v>452</v>
      </c>
      <c r="P40" s="20">
        <f>422.172+20.881+8.15+0.37</f>
        <v>451.57299999999998</v>
      </c>
      <c r="Q40" s="20">
        <f>427.683+21.201+7.701+0.5+6-Q39</f>
        <v>457.08500000000004</v>
      </c>
      <c r="R40" s="20">
        <f>454.764-R39</f>
        <v>454.76400000000001</v>
      </c>
      <c r="S40" s="20">
        <f>457.144-S39</f>
        <v>457.14400000000001</v>
      </c>
      <c r="T40" s="20">
        <f>452.333-T39</f>
        <v>452.33300000000003</v>
      </c>
      <c r="U40" s="20">
        <f>453.6-U39</f>
        <v>453.6</v>
      </c>
      <c r="V40" s="20"/>
      <c r="W40" s="20"/>
      <c r="X40" s="20"/>
    </row>
    <row r="41" spans="1:26" s="35" customFormat="1">
      <c r="A41" s="34" t="s">
        <v>72</v>
      </c>
      <c r="B41" s="20">
        <f>B39+B40+135+30</f>
        <v>2627</v>
      </c>
      <c r="C41" s="20">
        <f>C39+C40+135+30</f>
        <v>1849.0740000000003</v>
      </c>
      <c r="D41" s="20">
        <f>D39+D40+135</f>
        <v>1680.6450000000002</v>
      </c>
      <c r="E41" s="20">
        <f>E39+E40+135</f>
        <v>1521.25</v>
      </c>
      <c r="F41" s="20">
        <f>F39+F40+135</f>
        <v>1430</v>
      </c>
      <c r="G41" s="20">
        <f>G39+G40+135</f>
        <v>1430</v>
      </c>
      <c r="H41" s="20">
        <f t="shared" ref="H41:N41" si="29">H39+H40+135</f>
        <v>812.149</v>
      </c>
      <c r="I41" s="20">
        <f t="shared" si="29"/>
        <v>814.47</v>
      </c>
      <c r="J41" s="20">
        <f t="shared" si="29"/>
        <v>797.37300000000005</v>
      </c>
      <c r="K41" s="20">
        <f t="shared" si="29"/>
        <v>748.09</v>
      </c>
      <c r="L41" s="20">
        <f t="shared" si="29"/>
        <v>745.61599999999999</v>
      </c>
      <c r="M41" s="20">
        <f t="shared" si="29"/>
        <v>798.38900000000001</v>
      </c>
      <c r="N41" s="20">
        <f t="shared" si="29"/>
        <v>740</v>
      </c>
      <c r="O41" s="20">
        <f>O39+O40+170</f>
        <v>622</v>
      </c>
      <c r="P41" s="20">
        <f>P39+P40+170</f>
        <v>640.57299999999998</v>
      </c>
      <c r="Q41" s="20">
        <v>627.08600000000001</v>
      </c>
      <c r="R41" s="20">
        <v>624.76400000000001</v>
      </c>
      <c r="S41" s="20">
        <v>627.14400000000001</v>
      </c>
      <c r="T41" s="20">
        <v>622.33300000000008</v>
      </c>
      <c r="U41" s="20">
        <v>623.6</v>
      </c>
      <c r="V41" s="20"/>
      <c r="W41" s="20"/>
      <c r="X41" s="20"/>
    </row>
    <row r="42" spans="1:26" s="35" customFormat="1">
      <c r="A42" s="34" t="s">
        <v>73</v>
      </c>
      <c r="B42" s="36">
        <v>685</v>
      </c>
      <c r="C42" s="36">
        <f>308+290</f>
        <v>598</v>
      </c>
      <c r="D42" s="36">
        <f>308+290</f>
        <v>598</v>
      </c>
      <c r="E42" s="36">
        <f>308+290</f>
        <v>598</v>
      </c>
      <c r="F42" s="36">
        <f>308+290</f>
        <v>598</v>
      </c>
      <c r="G42" s="36">
        <f>308+290</f>
        <v>598</v>
      </c>
      <c r="H42" s="36">
        <v>0</v>
      </c>
      <c r="I42" s="36">
        <v>0</v>
      </c>
      <c r="J42" s="36">
        <v>0</v>
      </c>
      <c r="K42" s="36">
        <v>0</v>
      </c>
      <c r="L42" s="36">
        <v>0</v>
      </c>
      <c r="M42" s="36">
        <v>0</v>
      </c>
      <c r="N42" s="36">
        <v>0</v>
      </c>
      <c r="O42" s="36">
        <v>0</v>
      </c>
      <c r="P42" s="36">
        <v>0</v>
      </c>
      <c r="Q42" s="36">
        <v>0</v>
      </c>
      <c r="R42" s="36">
        <v>0</v>
      </c>
      <c r="S42" s="36">
        <v>0</v>
      </c>
      <c r="T42" s="36">
        <v>0</v>
      </c>
      <c r="U42" s="36">
        <v>0</v>
      </c>
      <c r="V42" s="36"/>
      <c r="W42" s="36"/>
      <c r="X42" s="36"/>
    </row>
    <row r="43" spans="1:26">
      <c r="B43" s="35"/>
      <c r="C43" s="35"/>
      <c r="D43" s="35"/>
      <c r="E43" s="35"/>
      <c r="F43" s="35"/>
      <c r="G43" s="35"/>
      <c r="H43" s="35"/>
      <c r="I43" s="35"/>
      <c r="J43" s="35"/>
      <c r="K43" s="35"/>
      <c r="L43" s="35"/>
      <c r="M43" s="35"/>
      <c r="N43" s="35"/>
      <c r="O43" s="35"/>
      <c r="P43" s="35"/>
      <c r="Q43" s="35"/>
      <c r="R43" s="35"/>
      <c r="S43" s="35"/>
    </row>
    <row r="44" spans="1:26">
      <c r="A44" s="19" t="s">
        <v>74</v>
      </c>
      <c r="B44" s="28">
        <v>182</v>
      </c>
      <c r="C44" s="28">
        <v>263.55599999999998</v>
      </c>
      <c r="D44" s="28">
        <v>227.779</v>
      </c>
      <c r="E44" s="28">
        <v>75.796999999999997</v>
      </c>
      <c r="F44" s="28">
        <v>2</v>
      </c>
      <c r="G44" s="28">
        <v>2</v>
      </c>
      <c r="H44" s="28">
        <v>7.548</v>
      </c>
      <c r="I44" s="28">
        <v>3.3940000000000001</v>
      </c>
      <c r="J44" s="28">
        <v>5.2149999999999999</v>
      </c>
      <c r="K44" s="28">
        <v>3.879</v>
      </c>
      <c r="L44" s="28">
        <v>23.004000000000001</v>
      </c>
      <c r="M44" s="28">
        <v>1.7949999999999999</v>
      </c>
      <c r="N44" s="28">
        <v>3.7789999999999999</v>
      </c>
      <c r="O44" s="28">
        <v>19.161000000000001</v>
      </c>
      <c r="P44" s="28">
        <v>2.85</v>
      </c>
      <c r="Q44" s="28">
        <v>4.1989999999999998</v>
      </c>
      <c r="R44" s="28">
        <v>19.533999999999999</v>
      </c>
      <c r="S44" s="28">
        <v>3.036</v>
      </c>
      <c r="T44" s="28">
        <v>2.85</v>
      </c>
      <c r="U44" s="28">
        <v>9.0459999999999994</v>
      </c>
      <c r="V44" s="28"/>
      <c r="W44" s="28"/>
      <c r="X44" s="28"/>
    </row>
    <row r="45" spans="1:26">
      <c r="B45" s="33"/>
      <c r="C45" s="33"/>
      <c r="D45" s="33"/>
      <c r="E45" s="33"/>
    </row>
    <row r="46" spans="1:26">
      <c r="A46" s="14" t="s">
        <v>75</v>
      </c>
      <c r="B46" s="51">
        <v>2709</v>
      </c>
      <c r="C46" s="51">
        <v>2273</v>
      </c>
      <c r="D46" s="51">
        <f>E46+D12-604</f>
        <v>2102</v>
      </c>
      <c r="E46" s="51">
        <f>F46+E12-562</f>
        <v>2071</v>
      </c>
      <c r="F46" s="51">
        <f>G46+F12-378</f>
        <v>2128</v>
      </c>
      <c r="G46" s="51">
        <v>2091</v>
      </c>
      <c r="H46" s="33">
        <f t="shared" ref="H46:M46" si="30">SUM(H12:K12)</f>
        <v>865.25700000000006</v>
      </c>
      <c r="I46" s="33">
        <f t="shared" si="30"/>
        <v>873.00699999999995</v>
      </c>
      <c r="J46" s="33">
        <f t="shared" si="30"/>
        <v>867.30400000000009</v>
      </c>
      <c r="K46" s="33">
        <f t="shared" si="30"/>
        <v>868.97</v>
      </c>
      <c r="L46" s="33">
        <f t="shared" si="30"/>
        <v>875.06899999999996</v>
      </c>
      <c r="M46" s="33">
        <f t="shared" si="30"/>
        <v>917.42899999999997</v>
      </c>
      <c r="N46" s="33">
        <f t="shared" ref="N46:U46" si="31">SUM(N12:Q12)</f>
        <v>911.52700000000004</v>
      </c>
      <c r="O46" s="33">
        <f t="shared" si="31"/>
        <v>911.22400000000005</v>
      </c>
      <c r="P46" s="33">
        <f t="shared" si="31"/>
        <v>893.49400000000003</v>
      </c>
      <c r="Q46" s="33">
        <f t="shared" si="31"/>
        <v>831.05500000000006</v>
      </c>
      <c r="R46" s="33">
        <f t="shared" si="31"/>
        <v>824.94399999999996</v>
      </c>
      <c r="S46" s="33">
        <f t="shared" si="31"/>
        <v>819.00400000000002</v>
      </c>
      <c r="T46" s="33">
        <f t="shared" si="31"/>
        <v>826.08100000000002</v>
      </c>
      <c r="U46" s="33">
        <f t="shared" si="31"/>
        <v>818.98399999999992</v>
      </c>
      <c r="W46" s="48">
        <f>-1.006-8.821</f>
        <v>-9.827</v>
      </c>
    </row>
    <row r="47" spans="1:26">
      <c r="A47" s="14" t="s">
        <v>76</v>
      </c>
      <c r="B47" s="58">
        <f>B27</f>
        <v>464</v>
      </c>
      <c r="C47" s="58">
        <f>C27</f>
        <v>356.06799999999998</v>
      </c>
      <c r="D47" s="58">
        <f>D27</f>
        <v>326</v>
      </c>
      <c r="E47" s="58">
        <f>E27</f>
        <v>320</v>
      </c>
      <c r="F47" s="51">
        <f>G47+F22-18</f>
        <v>333</v>
      </c>
      <c r="G47" s="51">
        <f>99+173+50</f>
        <v>322</v>
      </c>
      <c r="H47" s="33">
        <f t="shared" ref="H47" si="32">+H27</f>
        <v>96.167000000000002</v>
      </c>
      <c r="I47" s="33">
        <f t="shared" ref="I47:J47" si="33">+I27</f>
        <v>99.653999999999996</v>
      </c>
      <c r="J47" s="33">
        <f t="shared" si="33"/>
        <v>105.636</v>
      </c>
      <c r="K47" s="33">
        <f t="shared" ref="K47:U47" si="34">+K27</f>
        <v>112.557</v>
      </c>
      <c r="L47" s="33">
        <f t="shared" si="34"/>
        <v>110.026</v>
      </c>
      <c r="M47" s="33">
        <f t="shared" si="34"/>
        <v>132.84899999999999</v>
      </c>
      <c r="N47" s="33">
        <f t="shared" si="34"/>
        <v>130.66800000000001</v>
      </c>
      <c r="O47" s="33">
        <f t="shared" si="34"/>
        <v>135.511</v>
      </c>
      <c r="P47" s="33">
        <f t="shared" si="34"/>
        <v>127.30199999999999</v>
      </c>
      <c r="Q47" s="33">
        <f t="shared" si="34"/>
        <v>111.23099999999999</v>
      </c>
      <c r="R47" s="33">
        <f t="shared" si="34"/>
        <v>114.77499999999999</v>
      </c>
      <c r="S47" s="33">
        <f t="shared" si="34"/>
        <v>115.58600000000001</v>
      </c>
      <c r="T47" s="33">
        <f t="shared" si="34"/>
        <v>124.018</v>
      </c>
      <c r="U47" s="33">
        <f t="shared" si="34"/>
        <v>128.15899999999999</v>
      </c>
      <c r="W47" s="48">
        <f>-9.831+3.688--6.729+2.871</f>
        <v>3.4570000000000012</v>
      </c>
    </row>
    <row r="48" spans="1:26">
      <c r="A48" s="14" t="s">
        <v>77</v>
      </c>
      <c r="B48" s="58">
        <f>C48+B37-F37</f>
        <v>323.38200000000001</v>
      </c>
      <c r="C48" s="58">
        <f>D48+C37-G37</f>
        <v>307.46899999999999</v>
      </c>
      <c r="D48" s="58">
        <f>E48+D37-H37</f>
        <v>187.495</v>
      </c>
      <c r="E48" s="58">
        <f>F48+E37-I37</f>
        <v>243.322</v>
      </c>
      <c r="F48" s="58">
        <f>G48+F37-J37</f>
        <v>196.75200000000001</v>
      </c>
      <c r="G48" s="51">
        <v>221</v>
      </c>
      <c r="H48" s="33">
        <f t="shared" ref="H48:M48" si="35">+SUM(H37:K37)</f>
        <v>10.478999999999997</v>
      </c>
      <c r="I48" s="33">
        <f t="shared" si="35"/>
        <v>10.318000000000001</v>
      </c>
      <c r="J48" s="33">
        <f t="shared" si="35"/>
        <v>-14.951999999999998</v>
      </c>
      <c r="K48" s="33">
        <f t="shared" si="35"/>
        <v>-24.22</v>
      </c>
      <c r="L48" s="33">
        <f t="shared" si="35"/>
        <v>21.098000000000006</v>
      </c>
      <c r="M48" s="33">
        <f t="shared" si="35"/>
        <v>-15.124999999999993</v>
      </c>
      <c r="N48" s="33">
        <f t="shared" ref="N48" si="36">+SUM(N37:Q37)</f>
        <v>3.8380000000000045</v>
      </c>
      <c r="O48" s="33">
        <f t="shared" ref="O48:U48" si="37">+SUM(O37:R37)</f>
        <v>26.454000000000004</v>
      </c>
      <c r="P48" s="33">
        <f t="shared" si="37"/>
        <v>-8.2170000000000005</v>
      </c>
      <c r="Q48" s="33">
        <f t="shared" si="37"/>
        <v>0.13499999999999801</v>
      </c>
      <c r="R48" s="33">
        <f t="shared" si="37"/>
        <v>20.332999999999995</v>
      </c>
      <c r="S48" s="33">
        <f t="shared" si="37"/>
        <v>9.3919999999999977</v>
      </c>
      <c r="T48" s="33">
        <f t="shared" si="37"/>
        <v>4.4769999999999985</v>
      </c>
      <c r="U48" s="33">
        <f t="shared" si="37"/>
        <v>12.050999999999998</v>
      </c>
      <c r="W48" s="48">
        <f>SUM(W46:W47)</f>
        <v>-6.3699999999999992</v>
      </c>
    </row>
    <row r="49" spans="1:24">
      <c r="W49" s="48">
        <f>G48+F37-W48</f>
        <v>208.65200000000002</v>
      </c>
    </row>
    <row r="50" spans="1:24" s="37" customFormat="1">
      <c r="A50" s="37" t="s">
        <v>78</v>
      </c>
      <c r="B50" s="37">
        <f t="shared" ref="B50:C50" si="38">+SUM(B39:B40)/B47</f>
        <v>5.306034482758621</v>
      </c>
      <c r="C50" s="37">
        <f t="shared" si="38"/>
        <v>4.7296415291461189</v>
      </c>
      <c r="D50" s="37">
        <f t="shared" ref="D50:E50" si="39">+SUM(D39:D40)/D47</f>
        <v>4.741242331288344</v>
      </c>
      <c r="E50" s="37">
        <f t="shared" si="39"/>
        <v>4.33203125</v>
      </c>
      <c r="F50" s="37">
        <f t="shared" ref="F50:G50" si="40">+SUM(F39:F40)/F47</f>
        <v>3.8888888888888888</v>
      </c>
      <c r="G50" s="37">
        <f t="shared" si="40"/>
        <v>4.0217391304347823</v>
      </c>
      <c r="H50" s="37">
        <f t="shared" ref="H50:I50" si="41">+SUM(H39:H40)/H47</f>
        <v>7.0413863383489135</v>
      </c>
      <c r="I50" s="37">
        <f t="shared" si="41"/>
        <v>6.818291287855982</v>
      </c>
      <c r="J50" s="37">
        <f t="shared" ref="J50:K50" si="42">+SUM(J39:J40)/J47</f>
        <v>6.2703339770532782</v>
      </c>
      <c r="K50" s="37">
        <f t="shared" si="42"/>
        <v>5.4469291114724099</v>
      </c>
      <c r="L50" s="37">
        <f t="shared" ref="L50:U50" si="43">+SUM(L39:L40)/L47</f>
        <v>5.5497427880682748</v>
      </c>
      <c r="M50" s="37">
        <f t="shared" si="43"/>
        <v>4.9935565943288998</v>
      </c>
      <c r="N50" s="37">
        <f t="shared" si="43"/>
        <v>4.6300547953592304</v>
      </c>
      <c r="O50" s="37">
        <f t="shared" si="43"/>
        <v>3.3355225775029336</v>
      </c>
      <c r="P50" s="37">
        <f t="shared" si="43"/>
        <v>3.6965090886239023</v>
      </c>
      <c r="Q50" s="37">
        <f t="shared" si="43"/>
        <v>4.1632728286179219</v>
      </c>
      <c r="R50" s="37">
        <f t="shared" si="43"/>
        <v>3.9622217381834028</v>
      </c>
      <c r="S50" s="37">
        <f t="shared" si="43"/>
        <v>3.9550118526465141</v>
      </c>
      <c r="T50" s="37">
        <f t="shared" si="43"/>
        <v>3.6473173249044497</v>
      </c>
      <c r="U50" s="37">
        <f t="shared" si="43"/>
        <v>3.5393534593746834</v>
      </c>
    </row>
    <row r="51" spans="1:24" s="37" customFormat="1">
      <c r="A51" s="37" t="s">
        <v>79</v>
      </c>
      <c r="B51" s="37">
        <f t="shared" ref="B51:C51" si="44">+B41/B47</f>
        <v>5.6616379310344831</v>
      </c>
      <c r="C51" s="37">
        <f t="shared" si="44"/>
        <v>5.1930361616320493</v>
      </c>
      <c r="D51" s="37">
        <f t="shared" ref="D51:E51" si="45">+D41/D47</f>
        <v>5.1553527607361973</v>
      </c>
      <c r="E51" s="37">
        <f t="shared" si="45"/>
        <v>4.75390625</v>
      </c>
      <c r="F51" s="37">
        <f t="shared" ref="F51:G51" si="46">+F41/F47</f>
        <v>4.2942942942942945</v>
      </c>
      <c r="G51" s="37">
        <f t="shared" si="46"/>
        <v>4.4409937888198758</v>
      </c>
      <c r="H51" s="37">
        <f t="shared" ref="H51:I51" si="47">+H41/H47</f>
        <v>8.4451942974201124</v>
      </c>
      <c r="I51" s="37">
        <f t="shared" si="47"/>
        <v>8.1729785056294784</v>
      </c>
      <c r="J51" s="37">
        <f t="shared" ref="J51:K51" si="48">+J41/J47</f>
        <v>7.5483073952061801</v>
      </c>
      <c r="K51" s="37">
        <f t="shared" si="48"/>
        <v>6.646321419369742</v>
      </c>
      <c r="L51" s="37">
        <f t="shared" ref="L51:U51" si="49">+L41/L47</f>
        <v>6.7767255012451599</v>
      </c>
      <c r="M51" s="37">
        <f t="shared" si="49"/>
        <v>6.0097479092804615</v>
      </c>
      <c r="N51" s="37">
        <f t="shared" si="49"/>
        <v>5.6632075182906298</v>
      </c>
      <c r="O51" s="37">
        <f t="shared" si="49"/>
        <v>4.5900332814310278</v>
      </c>
      <c r="P51" s="37">
        <f t="shared" si="49"/>
        <v>5.0319162306955114</v>
      </c>
      <c r="Q51" s="37">
        <f t="shared" si="49"/>
        <v>5.6376909314849284</v>
      </c>
      <c r="R51" s="37">
        <f t="shared" si="49"/>
        <v>5.4433805271182756</v>
      </c>
      <c r="S51" s="37">
        <f t="shared" si="49"/>
        <v>5.4257782084335471</v>
      </c>
      <c r="T51" s="37">
        <f t="shared" si="49"/>
        <v>5.0180860842780897</v>
      </c>
      <c r="U51" s="37">
        <f t="shared" si="49"/>
        <v>4.8658307258951776</v>
      </c>
    </row>
    <row r="52" spans="1:24" s="37" customFormat="1">
      <c r="A52" s="37" t="s">
        <v>80</v>
      </c>
      <c r="B52" s="37">
        <f t="shared" ref="B52:C52" si="50">+(B41-B44)/B47</f>
        <v>5.2693965517241379</v>
      </c>
      <c r="C52" s="37">
        <f t="shared" si="50"/>
        <v>4.4528517024837964</v>
      </c>
      <c r="D52" s="37">
        <f t="shared" ref="D52:E52" si="51">+(D41-D44)/D47</f>
        <v>4.4566441717791418</v>
      </c>
      <c r="E52" s="37">
        <f t="shared" si="51"/>
        <v>4.5170406249999999</v>
      </c>
      <c r="F52" s="37">
        <f t="shared" ref="F52:G52" si="52">+(F41-F44)/F47</f>
        <v>4.288288288288288</v>
      </c>
      <c r="G52" s="37">
        <f t="shared" si="52"/>
        <v>4.4347826086956523</v>
      </c>
      <c r="H52" s="37">
        <f t="shared" ref="H52:I52" si="53">+(H41-H44)/H47</f>
        <v>8.3667058346418202</v>
      </c>
      <c r="I52" s="37">
        <f t="shared" si="53"/>
        <v>8.1389206655026403</v>
      </c>
      <c r="J52" s="37">
        <f t="shared" ref="J52:K52" si="54">+(J41-J44)/J47</f>
        <v>7.4989397553864219</v>
      </c>
      <c r="K52" s="37">
        <f t="shared" si="54"/>
        <v>6.6118588803894918</v>
      </c>
      <c r="L52" s="37">
        <f t="shared" ref="L52:U52" si="55">+(L41-L44)/L47</f>
        <v>6.5676476469198191</v>
      </c>
      <c r="M52" s="37">
        <f t="shared" si="55"/>
        <v>5.9962363284631435</v>
      </c>
      <c r="N52" s="37">
        <f t="shared" si="55"/>
        <v>5.6342868950316829</v>
      </c>
      <c r="O52" s="37">
        <f t="shared" si="55"/>
        <v>4.4486351661488737</v>
      </c>
      <c r="P52" s="37">
        <f t="shared" si="55"/>
        <v>5.0095285227254873</v>
      </c>
      <c r="Q52" s="37">
        <f t="shared" si="55"/>
        <v>5.599940664023519</v>
      </c>
      <c r="R52" s="37">
        <f t="shared" si="55"/>
        <v>5.2731866695709</v>
      </c>
      <c r="S52" s="37">
        <f t="shared" si="55"/>
        <v>5.3995120516325503</v>
      </c>
      <c r="T52" s="37">
        <f t="shared" si="55"/>
        <v>4.9951055491944718</v>
      </c>
      <c r="U52" s="37">
        <f t="shared" si="55"/>
        <v>4.7952465297013864</v>
      </c>
    </row>
    <row r="53" spans="1:24" s="38" customFormat="1">
      <c r="A53" s="38" t="s">
        <v>81</v>
      </c>
      <c r="B53" s="38">
        <f t="shared" ref="B53" si="56">+B48/B41</f>
        <v>0.12309935287400077</v>
      </c>
      <c r="C53" s="38">
        <f t="shared" ref="C53:D53" si="57">+C48/C41</f>
        <v>0.16628269068733861</v>
      </c>
      <c r="D53" s="38">
        <f t="shared" si="57"/>
        <v>0.11156133508266171</v>
      </c>
      <c r="E53" s="38">
        <f t="shared" ref="E53:F53" si="58">+E48/E41</f>
        <v>0.15994872637633525</v>
      </c>
      <c r="F53" s="38">
        <f t="shared" si="58"/>
        <v>0.13758881118881119</v>
      </c>
      <c r="G53" s="38">
        <f t="shared" ref="G53:H53" si="59">+G48/G41</f>
        <v>0.15454545454545454</v>
      </c>
      <c r="H53" s="38">
        <f t="shared" si="59"/>
        <v>1.2902804780896114E-2</v>
      </c>
      <c r="I53" s="38">
        <f t="shared" ref="I53:K53" si="60">+I48/I41</f>
        <v>1.266836102004985E-2</v>
      </c>
      <c r="J53" s="38">
        <f t="shared" si="60"/>
        <v>-1.8751575486002155E-2</v>
      </c>
      <c r="K53" s="38">
        <f t="shared" si="60"/>
        <v>-3.2375783662393562E-2</v>
      </c>
      <c r="L53" s="38">
        <f t="shared" ref="L53:U53" si="61">+L48/L41</f>
        <v>2.8296066608012711E-2</v>
      </c>
      <c r="M53" s="38">
        <f t="shared" si="61"/>
        <v>-1.8944399284058264E-2</v>
      </c>
      <c r="N53" s="38">
        <f t="shared" si="61"/>
        <v>5.1864864864864923E-3</v>
      </c>
      <c r="O53" s="38">
        <f t="shared" si="61"/>
        <v>4.253054662379422E-2</v>
      </c>
      <c r="P53" s="38">
        <f t="shared" si="61"/>
        <v>-1.2827577809242664E-2</v>
      </c>
      <c r="Q53" s="38">
        <f t="shared" si="61"/>
        <v>2.1528147654388394E-4</v>
      </c>
      <c r="R53" s="38">
        <f t="shared" si="61"/>
        <v>3.2545089025616064E-2</v>
      </c>
      <c r="S53" s="38">
        <f t="shared" si="61"/>
        <v>1.4975826923322232E-2</v>
      </c>
      <c r="T53" s="38">
        <f t="shared" si="61"/>
        <v>7.1938978006951225E-3</v>
      </c>
      <c r="U53" s="38">
        <f t="shared" si="61"/>
        <v>1.9324887748556764E-2</v>
      </c>
    </row>
    <row r="54" spans="1:24" s="38" customFormat="1">
      <c r="A54" s="39" t="s">
        <v>82</v>
      </c>
      <c r="B54" s="40">
        <v>8.5</v>
      </c>
      <c r="C54" s="40">
        <v>8.5</v>
      </c>
      <c r="D54" s="40">
        <v>8.5</v>
      </c>
      <c r="E54" s="40">
        <v>8.5</v>
      </c>
      <c r="F54" s="40">
        <v>8.5</v>
      </c>
      <c r="G54" s="40">
        <v>8.5</v>
      </c>
      <c r="H54" s="40">
        <v>8.5</v>
      </c>
      <c r="I54" s="40">
        <v>8.5</v>
      </c>
      <c r="J54" s="40">
        <v>8.5</v>
      </c>
      <c r="K54" s="40">
        <v>8.5</v>
      </c>
      <c r="L54" s="40">
        <v>8.5</v>
      </c>
      <c r="M54" s="40">
        <v>8.5</v>
      </c>
      <c r="N54" s="40">
        <v>8.5</v>
      </c>
      <c r="O54" s="40">
        <v>8.5</v>
      </c>
      <c r="P54" s="40">
        <v>8.5</v>
      </c>
      <c r="Q54" s="40">
        <v>8.5</v>
      </c>
      <c r="R54" s="40">
        <v>8.5</v>
      </c>
      <c r="S54" s="40">
        <v>8.5</v>
      </c>
      <c r="T54" s="40">
        <v>8.5</v>
      </c>
      <c r="U54" s="40">
        <v>8.5</v>
      </c>
      <c r="V54" s="39"/>
      <c r="W54" s="39"/>
      <c r="X54" s="39"/>
    </row>
    <row r="55" spans="1:24" s="38" customFormat="1">
      <c r="A55" s="38" t="s">
        <v>83</v>
      </c>
      <c r="B55" s="41">
        <f t="shared" ref="B55:C55" si="62">IF(B42=0,IF(B54="","","*"&amp;TEXT(B54,"0.0x")),(B41+B42-B44)/B47)</f>
        <v>6.7456896551724137</v>
      </c>
      <c r="C55" s="41">
        <f t="shared" si="62"/>
        <v>6.1323061887055301</v>
      </c>
      <c r="D55" s="41">
        <f t="shared" ref="D55:E55" si="63">IF(D42=0,IF(D54="","","*"&amp;TEXT(D54,"0.0x")),(D41+D42-D44)/D47)</f>
        <v>6.2910000000000013</v>
      </c>
      <c r="E55" s="41">
        <f t="shared" si="63"/>
        <v>6.3857906250000003</v>
      </c>
      <c r="F55" s="41">
        <f t="shared" ref="F55:G55" si="64">IF(F42=0,IF(F54="","","*"&amp;TEXT(F54,"0.0x")),(F41+F42-F44)/F47)</f>
        <v>6.0840840840840844</v>
      </c>
      <c r="G55" s="41">
        <f t="shared" si="64"/>
        <v>6.2919254658385091</v>
      </c>
      <c r="H55" s="41" t="str">
        <f t="shared" ref="H55:I55" si="65">IF(H42=0,IF(H54="","","*"&amp;TEXT(H54,"0.0x")),(H41+H42-H44)/H47)</f>
        <v>*8.5x</v>
      </c>
      <c r="I55" s="41" t="str">
        <f t="shared" si="65"/>
        <v>*8.5x</v>
      </c>
      <c r="J55" s="41" t="str">
        <f t="shared" ref="J55:K55" si="66">IF(J42=0,IF(J54="","","*"&amp;TEXT(J54,"0.0x")),(J41+J42-J44)/J47)</f>
        <v>*8.5x</v>
      </c>
      <c r="K55" s="41" t="str">
        <f t="shared" si="66"/>
        <v>*8.5x</v>
      </c>
      <c r="L55" s="41" t="str">
        <f t="shared" ref="L55:U55" si="67">IF(L42=0,IF(L54="","","*"&amp;TEXT(L54,"0.0x")),(L41+L42-L44)/L47)</f>
        <v>*8.5x</v>
      </c>
      <c r="M55" s="41" t="str">
        <f t="shared" si="67"/>
        <v>*8.5x</v>
      </c>
      <c r="N55" s="41" t="str">
        <f t="shared" si="67"/>
        <v>*8.5x</v>
      </c>
      <c r="O55" s="41" t="str">
        <f t="shared" si="67"/>
        <v>*8.5x</v>
      </c>
      <c r="P55" s="41" t="str">
        <f t="shared" si="67"/>
        <v>*8.5x</v>
      </c>
      <c r="Q55" s="41" t="str">
        <f t="shared" si="67"/>
        <v>*8.5x</v>
      </c>
      <c r="R55" s="41" t="str">
        <f t="shared" si="67"/>
        <v>*8.5x</v>
      </c>
      <c r="S55" s="41" t="str">
        <f t="shared" si="67"/>
        <v>*8.5x</v>
      </c>
      <c r="T55" s="41" t="str">
        <f t="shared" si="67"/>
        <v>*8.5x</v>
      </c>
      <c r="U55" s="41" t="str">
        <f t="shared" si="67"/>
        <v>*8.5x</v>
      </c>
      <c r="V55" s="41" t="str">
        <f>IF(V42=0,IF(V54="","",CONCATENATE("* ",V54,"x")),(V41+V42-V44)/V47)</f>
        <v/>
      </c>
      <c r="W55" s="41" t="str">
        <f>IF(W42=0,IF(W54="","",CONCATENATE("* ",W54,"x")),(W41+W42-W44)/W47)</f>
        <v/>
      </c>
      <c r="X55" s="41" t="str">
        <f>IF(X42=0,IF(X54="","",CONCATENATE("* ",X54,"x")),(X41+X42-X44)/X47)</f>
        <v/>
      </c>
    </row>
    <row r="56" spans="1:24">
      <c r="U56" s="42"/>
    </row>
    <row r="57" spans="1:24" ht="80.25" customHeight="1">
      <c r="A57" s="43" t="s">
        <v>84</v>
      </c>
      <c r="B57" s="44" t="s">
        <v>669</v>
      </c>
      <c r="C57" s="44" t="s">
        <v>289</v>
      </c>
      <c r="D57" s="44" t="s">
        <v>289</v>
      </c>
      <c r="E57" s="44" t="s">
        <v>289</v>
      </c>
      <c r="F57" s="44" t="s">
        <v>548</v>
      </c>
      <c r="G57" s="44" t="s">
        <v>548</v>
      </c>
      <c r="H57" s="44" t="s">
        <v>289</v>
      </c>
      <c r="I57" s="44" t="s">
        <v>289</v>
      </c>
      <c r="J57" s="44" t="s">
        <v>289</v>
      </c>
      <c r="K57" s="44" t="s">
        <v>289</v>
      </c>
      <c r="L57" s="44" t="s">
        <v>289</v>
      </c>
      <c r="M57" s="44" t="s">
        <v>90</v>
      </c>
      <c r="N57" s="44" t="s">
        <v>90</v>
      </c>
      <c r="O57" s="44" t="s">
        <v>90</v>
      </c>
      <c r="P57" s="44" t="s">
        <v>90</v>
      </c>
      <c r="Q57" s="44" t="s">
        <v>90</v>
      </c>
      <c r="R57" s="44"/>
      <c r="S57" s="44"/>
      <c r="T57" s="44"/>
      <c r="U57" s="44"/>
      <c r="V57" s="44"/>
      <c r="W57" s="44"/>
      <c r="X57" s="44"/>
    </row>
    <row r="58" spans="1:24">
      <c r="A58" s="45"/>
      <c r="B58" s="42"/>
      <c r="C58" s="42"/>
      <c r="D58" s="42"/>
      <c r="E58" s="42"/>
      <c r="F58" s="42"/>
      <c r="G58" s="42"/>
      <c r="H58" s="42"/>
      <c r="I58" s="42"/>
      <c r="J58" s="42"/>
      <c r="K58" s="42"/>
      <c r="L58" s="42"/>
      <c r="M58" s="42"/>
      <c r="N58" s="42"/>
      <c r="O58" s="42"/>
      <c r="P58" s="42"/>
      <c r="Q58" s="42"/>
    </row>
    <row r="59" spans="1:24">
      <c r="A59" s="45"/>
    </row>
  </sheetData>
  <pageMargins left="0.7" right="0.7" top="0.75" bottom="0.75" header="0.3" footer="0.3"/>
  <pageSetup orientation="portrait" r:id="rId1"/>
  <ignoredErrors>
    <ignoredError sqref="H24:X24 I26:X30 J25:X25 P48:V48 P46:V46 P47:V47" formulaRange="1"/>
  </ignoredErrors>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2:AA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24" width="10.6640625" style="14" customWidth="1"/>
    <col min="25" max="16384" width="9.109375" style="14"/>
  </cols>
  <sheetData>
    <row r="2" spans="1:24">
      <c r="A2" s="13" t="s">
        <v>44</v>
      </c>
      <c r="B2" s="14" t="s">
        <v>33</v>
      </c>
    </row>
    <row r="3" spans="1:24" s="16" customFormat="1">
      <c r="A3" s="15" t="s">
        <v>45</v>
      </c>
      <c r="B3" s="16" t="s">
        <v>139</v>
      </c>
    </row>
    <row r="4" spans="1:24">
      <c r="A4" s="13" t="s">
        <v>2</v>
      </c>
      <c r="B4" s="14" t="s">
        <v>4</v>
      </c>
    </row>
    <row r="5" spans="1:24">
      <c r="A5" s="13" t="s">
        <v>46</v>
      </c>
    </row>
    <row r="6" spans="1:24">
      <c r="A6" s="13" t="s">
        <v>47</v>
      </c>
      <c r="B6" s="14">
        <v>4</v>
      </c>
    </row>
    <row r="7" spans="1:24">
      <c r="A7" s="13" t="s">
        <v>48</v>
      </c>
      <c r="B7" s="14" t="s">
        <v>141</v>
      </c>
    </row>
    <row r="8" spans="1:24">
      <c r="A8" s="13" t="s">
        <v>347</v>
      </c>
      <c r="B8" s="14" t="s">
        <v>380</v>
      </c>
    </row>
    <row r="9" spans="1:24">
      <c r="A9" s="17"/>
    </row>
    <row r="10" spans="1:24">
      <c r="A10" s="17" t="s">
        <v>49</v>
      </c>
      <c r="B10" s="18">
        <v>44286</v>
      </c>
      <c r="C10" s="18">
        <v>44196</v>
      </c>
      <c r="D10" s="18">
        <v>44104</v>
      </c>
      <c r="E10" s="18">
        <v>44012</v>
      </c>
      <c r="F10" s="18">
        <v>43921</v>
      </c>
      <c r="G10" s="18">
        <v>43830</v>
      </c>
      <c r="H10" s="18">
        <v>43738</v>
      </c>
      <c r="I10" s="18">
        <f t="shared" ref="I10:X10" si="0">EOMONTH(H10,-3)</f>
        <v>43646</v>
      </c>
      <c r="J10" s="18">
        <f t="shared" si="0"/>
        <v>43555</v>
      </c>
      <c r="K10" s="18">
        <f t="shared" si="0"/>
        <v>43465</v>
      </c>
      <c r="L10" s="18">
        <f t="shared" si="0"/>
        <v>43373</v>
      </c>
      <c r="M10" s="18">
        <f t="shared" si="0"/>
        <v>43281</v>
      </c>
      <c r="N10" s="18">
        <f t="shared" si="0"/>
        <v>43190</v>
      </c>
      <c r="O10" s="18">
        <f t="shared" si="0"/>
        <v>43100</v>
      </c>
      <c r="P10" s="18">
        <f t="shared" si="0"/>
        <v>43008</v>
      </c>
      <c r="Q10" s="18">
        <f t="shared" si="0"/>
        <v>42916</v>
      </c>
      <c r="R10" s="18">
        <f t="shared" si="0"/>
        <v>42825</v>
      </c>
      <c r="S10" s="18">
        <f t="shared" si="0"/>
        <v>42735</v>
      </c>
      <c r="T10" s="18">
        <f t="shared" si="0"/>
        <v>42643</v>
      </c>
      <c r="U10" s="18">
        <f t="shared" si="0"/>
        <v>42551</v>
      </c>
      <c r="V10" s="18">
        <f t="shared" si="0"/>
        <v>42460</v>
      </c>
      <c r="W10" s="18">
        <f t="shared" si="0"/>
        <v>42369</v>
      </c>
      <c r="X10" s="18">
        <f t="shared" si="0"/>
        <v>42277</v>
      </c>
    </row>
    <row r="12" spans="1:24">
      <c r="A12" s="19" t="s">
        <v>50</v>
      </c>
      <c r="B12" s="20">
        <v>262.92599999999999</v>
      </c>
      <c r="C12" s="20">
        <v>251.982</v>
      </c>
      <c r="D12" s="20">
        <v>253.01700000000002</v>
      </c>
      <c r="E12" s="20">
        <v>234.089</v>
      </c>
      <c r="F12" s="20">
        <v>273.93</v>
      </c>
      <c r="G12" s="20">
        <v>267.65199999999999</v>
      </c>
      <c r="H12" s="20">
        <v>289.72500000000002</v>
      </c>
      <c r="I12" s="20">
        <v>291.83699999999999</v>
      </c>
      <c r="J12" s="20">
        <v>274.32299999999998</v>
      </c>
      <c r="K12" s="20">
        <v>271.27100000000002</v>
      </c>
      <c r="L12" s="20">
        <v>277.11200000000002</v>
      </c>
      <c r="M12" s="20">
        <v>278.02600000000001</v>
      </c>
      <c r="N12" s="20">
        <v>256.33400000000006</v>
      </c>
      <c r="O12" s="20">
        <v>242.50600000000003</v>
      </c>
      <c r="P12" s="20">
        <v>241.875</v>
      </c>
      <c r="Q12" s="20">
        <v>240.59800000000001</v>
      </c>
      <c r="R12" s="20">
        <v>218.51299999999998</v>
      </c>
      <c r="S12" s="20">
        <v>192.83999999999995</v>
      </c>
      <c r="T12" s="20">
        <v>200.28680000000003</v>
      </c>
      <c r="U12" s="20">
        <v>199.12700000000001</v>
      </c>
      <c r="V12" s="20">
        <v>197.499</v>
      </c>
      <c r="W12" s="20">
        <v>197.99899999999997</v>
      </c>
      <c r="X12" s="20">
        <v>214.90300000000002</v>
      </c>
    </row>
    <row r="13" spans="1:24" s="21" customFormat="1">
      <c r="A13" s="21" t="s">
        <v>51</v>
      </c>
      <c r="B13" s="21">
        <f t="shared" ref="B13:T13" si="1">+B12/F12-1</f>
        <v>-4.0170846566641161E-2</v>
      </c>
      <c r="C13" s="21">
        <f t="shared" si="1"/>
        <v>-5.8546171894848453E-2</v>
      </c>
      <c r="D13" s="21">
        <f t="shared" si="1"/>
        <v>-0.12669945638105096</v>
      </c>
      <c r="E13" s="21">
        <f t="shared" si="1"/>
        <v>-0.19787758234905095</v>
      </c>
      <c r="F13" s="21">
        <f t="shared" si="1"/>
        <v>-1.4326177535239903E-3</v>
      </c>
      <c r="G13" s="21">
        <f t="shared" si="1"/>
        <v>-1.3340902639795704E-2</v>
      </c>
      <c r="H13" s="21">
        <f t="shared" si="1"/>
        <v>4.5515892491122756E-2</v>
      </c>
      <c r="I13" s="21">
        <f t="shared" si="1"/>
        <v>4.9675210232136502E-2</v>
      </c>
      <c r="J13" s="21">
        <f t="shared" si="1"/>
        <v>7.0177970928553712E-2</v>
      </c>
      <c r="K13" s="21">
        <f t="shared" si="1"/>
        <v>0.11861562188152042</v>
      </c>
      <c r="L13" s="21">
        <f t="shared" si="1"/>
        <v>0.14568268733850132</v>
      </c>
      <c r="M13" s="21">
        <f t="shared" si="1"/>
        <v>0.15556239037730979</v>
      </c>
      <c r="N13" s="21">
        <f t="shared" si="1"/>
        <v>0.17308352363474988</v>
      </c>
      <c r="O13" s="21">
        <f t="shared" si="1"/>
        <v>0.2575503007674762</v>
      </c>
      <c r="P13" s="21">
        <f t="shared" si="1"/>
        <v>0.20764323959442144</v>
      </c>
      <c r="Q13" s="21">
        <f t="shared" si="1"/>
        <v>0.20826407267723623</v>
      </c>
      <c r="R13" s="21">
        <f t="shared" si="1"/>
        <v>0.10640053873690491</v>
      </c>
      <c r="S13" s="21">
        <f t="shared" si="1"/>
        <v>-2.6055687149935225E-2</v>
      </c>
      <c r="T13" s="21">
        <f t="shared" si="1"/>
        <v>-6.8013010521025707E-2</v>
      </c>
    </row>
    <row r="14" spans="1:24"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t="s">
        <v>3</v>
      </c>
      <c r="P14" s="23" t="s">
        <v>3</v>
      </c>
      <c r="Q14" s="23" t="s">
        <v>3</v>
      </c>
      <c r="R14" s="23" t="s">
        <v>3</v>
      </c>
      <c r="S14" s="23" t="s">
        <v>3</v>
      </c>
      <c r="T14" s="23" t="s">
        <v>3</v>
      </c>
      <c r="U14" s="22"/>
      <c r="V14" s="22"/>
      <c r="W14" s="22"/>
      <c r="X14" s="22"/>
    </row>
    <row r="16" spans="1:24" s="17" customFormat="1">
      <c r="A16" s="25" t="s">
        <v>53</v>
      </c>
      <c r="B16" s="26">
        <v>29.876000000000001</v>
      </c>
      <c r="C16" s="26">
        <v>24.978000000000002</v>
      </c>
      <c r="D16" s="26">
        <v>27.841000000000001</v>
      </c>
      <c r="E16" s="26">
        <v>25.643000000000001</v>
      </c>
      <c r="F16" s="26">
        <v>28.459</v>
      </c>
      <c r="G16" s="26">
        <v>21.192</v>
      </c>
      <c r="H16" s="26">
        <v>29.408000000000001</v>
      </c>
      <c r="I16" s="26">
        <v>28.29</v>
      </c>
      <c r="J16" s="26">
        <v>26.041</v>
      </c>
      <c r="K16" s="26">
        <v>21.968</v>
      </c>
      <c r="L16" s="26">
        <v>27.143000000000001</v>
      </c>
      <c r="M16" s="26">
        <v>25.103999999999999</v>
      </c>
      <c r="N16" s="26">
        <v>22.655000000000001</v>
      </c>
      <c r="O16" s="26">
        <v>19.295000000000002</v>
      </c>
      <c r="P16" s="26">
        <v>24.686</v>
      </c>
      <c r="Q16" s="26">
        <v>23.484000000000002</v>
      </c>
      <c r="R16" s="26">
        <v>17.917999999999999</v>
      </c>
      <c r="S16" s="26">
        <v>13.512</v>
      </c>
      <c r="T16" s="26">
        <v>18.366</v>
      </c>
      <c r="U16" s="26">
        <v>19.744</v>
      </c>
      <c r="V16" s="26">
        <v>19.265000000000001</v>
      </c>
      <c r="W16" s="26">
        <v>17.949000000000002</v>
      </c>
      <c r="X16" s="26">
        <v>17.581</v>
      </c>
    </row>
    <row r="17" spans="1:27" s="21" customFormat="1">
      <c r="A17" s="21" t="s">
        <v>54</v>
      </c>
      <c r="B17" s="21">
        <f t="shared" ref="B17:C17" si="2">+B16/B12</f>
        <v>0.11362892981295118</v>
      </c>
      <c r="C17" s="21">
        <f t="shared" si="2"/>
        <v>9.9126128056765961E-2</v>
      </c>
      <c r="D17" s="21">
        <f t="shared" ref="D17:E17" si="3">+D16/D12</f>
        <v>0.11003608453186939</v>
      </c>
      <c r="E17" s="21">
        <f t="shared" si="3"/>
        <v>0.10954380598832068</v>
      </c>
      <c r="F17" s="21">
        <f t="shared" ref="F17:G17" si="4">+F16/F12</f>
        <v>0.10389150512904756</v>
      </c>
      <c r="G17" s="21">
        <f t="shared" si="4"/>
        <v>7.9177439361559049E-2</v>
      </c>
      <c r="H17" s="21">
        <f t="shared" ref="H17:I17" si="5">+H16/H12</f>
        <v>0.10150314953835533</v>
      </c>
      <c r="I17" s="21">
        <f t="shared" si="5"/>
        <v>9.6937674112603955E-2</v>
      </c>
      <c r="J17" s="21">
        <f t="shared" ref="J17:K17" si="6">+J16/J12</f>
        <v>9.4928241525500973E-2</v>
      </c>
      <c r="K17" s="21">
        <f t="shared" si="6"/>
        <v>8.0981748878427837E-2</v>
      </c>
      <c r="L17" s="21">
        <f t="shared" ref="L17:Q17" si="7">+L16/L12</f>
        <v>9.7949565518635054E-2</v>
      </c>
      <c r="M17" s="21">
        <f t="shared" si="7"/>
        <v>9.0293713537582809E-2</v>
      </c>
      <c r="N17" s="21">
        <f t="shared" si="7"/>
        <v>8.8380784445294014E-2</v>
      </c>
      <c r="O17" s="21">
        <f t="shared" si="7"/>
        <v>7.9565041689690155E-2</v>
      </c>
      <c r="P17" s="21">
        <f t="shared" si="7"/>
        <v>0.1020609819121447</v>
      </c>
      <c r="Q17" s="21">
        <f t="shared" si="7"/>
        <v>9.7606796398972559E-2</v>
      </c>
      <c r="R17" s="21">
        <f t="shared" ref="R17:X17" si="8">+R16/R12</f>
        <v>8.1999697958473866E-2</v>
      </c>
      <c r="S17" s="21">
        <f t="shared" si="8"/>
        <v>7.0068450528935927E-2</v>
      </c>
      <c r="T17" s="21">
        <f t="shared" si="8"/>
        <v>9.1698504344769588E-2</v>
      </c>
      <c r="U17" s="21">
        <f t="shared" si="8"/>
        <v>9.9152801980645508E-2</v>
      </c>
      <c r="V17" s="21">
        <f t="shared" si="8"/>
        <v>9.7544797695178209E-2</v>
      </c>
      <c r="W17" s="21">
        <f t="shared" si="8"/>
        <v>9.0651972989762603E-2</v>
      </c>
      <c r="X17" s="21">
        <f t="shared" si="8"/>
        <v>8.1809002200992992E-2</v>
      </c>
    </row>
    <row r="18" spans="1:27" s="24" customFormat="1"/>
    <row r="19" spans="1:27"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row>
    <row r="20" spans="1:27"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row>
    <row r="21" spans="1:27"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row>
    <row r="22" spans="1:27" s="17" customFormat="1">
      <c r="A22" s="17" t="s">
        <v>58</v>
      </c>
      <c r="B22" s="27">
        <f t="shared" ref="B22:C22" si="9">SUM(B16,B19:B21)</f>
        <v>29.876000000000001</v>
      </c>
      <c r="C22" s="27">
        <f t="shared" si="9"/>
        <v>24.978000000000002</v>
      </c>
      <c r="D22" s="27">
        <f t="shared" ref="D22:E22" si="10">SUM(D16,D19:D21)</f>
        <v>27.841000000000001</v>
      </c>
      <c r="E22" s="27">
        <f t="shared" si="10"/>
        <v>25.643000000000001</v>
      </c>
      <c r="F22" s="27">
        <f t="shared" ref="F22:G22" si="11">SUM(F16,F19:F21)</f>
        <v>28.459</v>
      </c>
      <c r="G22" s="27">
        <f t="shared" si="11"/>
        <v>21.192</v>
      </c>
      <c r="H22" s="27">
        <f t="shared" ref="H22:I22" si="12">SUM(H16,H19:H21)</f>
        <v>29.408000000000001</v>
      </c>
      <c r="I22" s="27">
        <f t="shared" si="12"/>
        <v>28.29</v>
      </c>
      <c r="J22" s="27">
        <f t="shared" ref="J22:K22" si="13">SUM(J16,J19:J21)</f>
        <v>26.041</v>
      </c>
      <c r="K22" s="27">
        <f t="shared" si="13"/>
        <v>21.968</v>
      </c>
      <c r="L22" s="27">
        <f t="shared" ref="L22:Q22" si="14">SUM(L16,L19:L21)</f>
        <v>27.143000000000001</v>
      </c>
      <c r="M22" s="27">
        <f t="shared" si="14"/>
        <v>25.103999999999999</v>
      </c>
      <c r="N22" s="27">
        <f t="shared" si="14"/>
        <v>22.655000000000001</v>
      </c>
      <c r="O22" s="27">
        <f t="shared" si="14"/>
        <v>19.295000000000002</v>
      </c>
      <c r="P22" s="27">
        <f t="shared" si="14"/>
        <v>24.686</v>
      </c>
      <c r="Q22" s="27">
        <f t="shared" si="14"/>
        <v>23.484000000000002</v>
      </c>
      <c r="R22" s="27">
        <f t="shared" ref="R22:X22" si="15">SUM(R16,R19:R21)</f>
        <v>17.917999999999999</v>
      </c>
      <c r="S22" s="27">
        <f t="shared" si="15"/>
        <v>13.512</v>
      </c>
      <c r="T22" s="27">
        <f t="shared" si="15"/>
        <v>18.366</v>
      </c>
      <c r="U22" s="27">
        <f t="shared" si="15"/>
        <v>19.744</v>
      </c>
      <c r="V22" s="27">
        <f t="shared" si="15"/>
        <v>19.265000000000001</v>
      </c>
      <c r="W22" s="27">
        <f t="shared" si="15"/>
        <v>17.949000000000002</v>
      </c>
      <c r="X22" s="27">
        <f t="shared" si="15"/>
        <v>17.581</v>
      </c>
    </row>
    <row r="23" spans="1:27" s="17" customFormat="1">
      <c r="B23" s="21"/>
      <c r="C23" s="21"/>
      <c r="D23" s="21"/>
      <c r="E23" s="21"/>
      <c r="F23" s="21"/>
      <c r="G23" s="21"/>
      <c r="H23" s="21"/>
      <c r="I23" s="21"/>
      <c r="J23" s="21"/>
      <c r="K23" s="21"/>
      <c r="L23" s="21"/>
      <c r="M23" s="27"/>
      <c r="N23" s="27"/>
      <c r="O23" s="27"/>
      <c r="P23" s="27"/>
      <c r="Q23" s="27"/>
      <c r="R23" s="27"/>
      <c r="S23" s="27"/>
      <c r="T23" s="27"/>
      <c r="U23" s="27"/>
      <c r="V23" s="27"/>
      <c r="W23" s="27"/>
      <c r="X23" s="27"/>
    </row>
    <row r="24" spans="1:27" s="17" customFormat="1">
      <c r="A24" s="17" t="s">
        <v>59</v>
      </c>
      <c r="B24" s="27">
        <f t="shared" ref="B24:U24" si="16">SUM(B22:E22)</f>
        <v>108.33799999999999</v>
      </c>
      <c r="C24" s="27">
        <f t="shared" si="16"/>
        <v>106.92100000000001</v>
      </c>
      <c r="D24" s="27">
        <f t="shared" si="16"/>
        <v>103.13499999999999</v>
      </c>
      <c r="E24" s="27">
        <f t="shared" si="16"/>
        <v>104.70200000000001</v>
      </c>
      <c r="F24" s="27">
        <f t="shared" si="16"/>
        <v>107.34899999999999</v>
      </c>
      <c r="G24" s="27">
        <f t="shared" si="16"/>
        <v>104.931</v>
      </c>
      <c r="H24" s="27">
        <f t="shared" si="16"/>
        <v>105.70700000000001</v>
      </c>
      <c r="I24" s="27">
        <f t="shared" si="16"/>
        <v>103.44200000000001</v>
      </c>
      <c r="J24" s="27">
        <f t="shared" si="16"/>
        <v>100.256</v>
      </c>
      <c r="K24" s="27">
        <f t="shared" si="16"/>
        <v>96.87</v>
      </c>
      <c r="L24" s="27">
        <f t="shared" si="16"/>
        <v>94.197000000000003</v>
      </c>
      <c r="M24" s="27">
        <f t="shared" si="16"/>
        <v>91.740000000000009</v>
      </c>
      <c r="N24" s="27">
        <f t="shared" si="16"/>
        <v>90.12</v>
      </c>
      <c r="O24" s="27">
        <f t="shared" si="16"/>
        <v>85.38300000000001</v>
      </c>
      <c r="P24" s="27">
        <f t="shared" si="16"/>
        <v>79.599999999999994</v>
      </c>
      <c r="Q24" s="27">
        <f t="shared" si="16"/>
        <v>73.28</v>
      </c>
      <c r="R24" s="27">
        <f t="shared" si="16"/>
        <v>69.539999999999992</v>
      </c>
      <c r="S24" s="27">
        <f t="shared" si="16"/>
        <v>70.887</v>
      </c>
      <c r="T24" s="27">
        <f t="shared" si="16"/>
        <v>75.323999999999998</v>
      </c>
      <c r="U24" s="27">
        <f t="shared" si="16"/>
        <v>74.539000000000001</v>
      </c>
      <c r="V24" s="27"/>
      <c r="W24" s="27"/>
      <c r="X24" s="27"/>
    </row>
    <row r="25" spans="1:27" s="24" customFormat="1">
      <c r="A25" s="19" t="s">
        <v>60</v>
      </c>
      <c r="B25" s="28">
        <f>114.582-B24</f>
        <v>6.2439999999999998</v>
      </c>
      <c r="C25" s="28">
        <f>110.134-C24</f>
        <v>3.2129999999999939</v>
      </c>
      <c r="D25" s="28">
        <f>110.179-D24</f>
        <v>7.0440000000000111</v>
      </c>
      <c r="E25" s="28">
        <f>111.204-E24</f>
        <v>6.5019999999999811</v>
      </c>
      <c r="F25" s="28">
        <f>114.582-F24</f>
        <v>7.2330000000000041</v>
      </c>
      <c r="G25" s="28">
        <f>112.601-G24</f>
        <v>7.6700000000000017</v>
      </c>
      <c r="H25" s="28">
        <f>117.313-H24</f>
        <v>11.605999999999995</v>
      </c>
      <c r="I25" s="28">
        <f>106.366-I24</f>
        <v>2.9239999999999924</v>
      </c>
      <c r="J25" s="28">
        <f>104.752-J24</f>
        <v>4.4959999999999951</v>
      </c>
      <c r="K25" s="28">
        <f>100.139-K24</f>
        <v>3.2689999999999912</v>
      </c>
      <c r="L25" s="28">
        <f>95.678-L24</f>
        <v>1.4809999999999945</v>
      </c>
      <c r="M25" s="28">
        <f>93.153-M24</f>
        <v>1.4129999999999967</v>
      </c>
      <c r="N25" s="28">
        <f>93.11-N24</f>
        <v>2.9899999999999949</v>
      </c>
      <c r="O25" s="28">
        <f>88.978-O24</f>
        <v>3.5949999999999847</v>
      </c>
      <c r="P25" s="28">
        <f>85.736-P24</f>
        <v>6.1360000000000099</v>
      </c>
      <c r="Q25" s="28">
        <f>79.459-Q24</f>
        <v>6.179000000000002</v>
      </c>
      <c r="R25" s="28">
        <v>0</v>
      </c>
      <c r="S25" s="28">
        <v>0</v>
      </c>
      <c r="T25" s="28">
        <v>0</v>
      </c>
      <c r="U25" s="28">
        <v>0</v>
      </c>
      <c r="V25" s="28"/>
      <c r="W25" s="28"/>
      <c r="X25" s="28"/>
    </row>
    <row r="26" spans="1:27" s="24" customFormat="1">
      <c r="A26" s="19" t="s">
        <v>61</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v>0</v>
      </c>
      <c r="S26" s="29">
        <v>0</v>
      </c>
      <c r="T26" s="29">
        <v>0</v>
      </c>
      <c r="U26" s="29">
        <v>0</v>
      </c>
      <c r="V26" s="30"/>
      <c r="W26" s="30"/>
      <c r="X26" s="30"/>
    </row>
    <row r="27" spans="1:27" s="32" customFormat="1">
      <c r="A27" s="17" t="s">
        <v>62</v>
      </c>
      <c r="B27" s="27">
        <f t="shared" ref="B27" si="17">SUM(B24:B26)</f>
        <v>114.58199999999999</v>
      </c>
      <c r="C27" s="27">
        <f t="shared" ref="C27:D27" si="18">SUM(C24:C26)</f>
        <v>110.134</v>
      </c>
      <c r="D27" s="27">
        <f t="shared" si="18"/>
        <v>110.179</v>
      </c>
      <c r="E27" s="27">
        <f t="shared" ref="E27:F27" si="19">SUM(E24:E26)</f>
        <v>111.20399999999999</v>
      </c>
      <c r="F27" s="27">
        <f t="shared" si="19"/>
        <v>114.58199999999999</v>
      </c>
      <c r="G27" s="27">
        <f t="shared" ref="G27:H27" si="20">SUM(G24:G26)</f>
        <v>112.601</v>
      </c>
      <c r="H27" s="27">
        <f t="shared" si="20"/>
        <v>117.313</v>
      </c>
      <c r="I27" s="27">
        <f t="shared" ref="I27:J27" si="21">SUM(I24:I26)</f>
        <v>106.366</v>
      </c>
      <c r="J27" s="27">
        <f t="shared" si="21"/>
        <v>104.752</v>
      </c>
      <c r="K27" s="27">
        <f t="shared" ref="K27:U27" si="22">SUM(K24:K26)</f>
        <v>100.139</v>
      </c>
      <c r="L27" s="27">
        <f t="shared" si="22"/>
        <v>95.677999999999997</v>
      </c>
      <c r="M27" s="27">
        <f t="shared" si="22"/>
        <v>93.153000000000006</v>
      </c>
      <c r="N27" s="27">
        <f t="shared" si="22"/>
        <v>93.11</v>
      </c>
      <c r="O27" s="27">
        <f t="shared" si="22"/>
        <v>88.977999999999994</v>
      </c>
      <c r="P27" s="27">
        <f t="shared" si="22"/>
        <v>85.736000000000004</v>
      </c>
      <c r="Q27" s="27">
        <f t="shared" si="22"/>
        <v>79.459000000000003</v>
      </c>
      <c r="R27" s="27">
        <f t="shared" si="22"/>
        <v>69.539999999999992</v>
      </c>
      <c r="S27" s="27">
        <f t="shared" si="22"/>
        <v>70.887</v>
      </c>
      <c r="T27" s="27">
        <f t="shared" si="22"/>
        <v>75.323999999999998</v>
      </c>
      <c r="U27" s="27">
        <f t="shared" si="22"/>
        <v>74.539000000000001</v>
      </c>
      <c r="V27" s="31"/>
      <c r="W27" s="31"/>
      <c r="X27" s="31"/>
    </row>
    <row r="28" spans="1:27" s="24" customFormat="1">
      <c r="Z28" s="136"/>
      <c r="AA28" s="136"/>
    </row>
    <row r="29" spans="1:27" s="17" customFormat="1">
      <c r="A29" s="17" t="s">
        <v>58</v>
      </c>
      <c r="B29" s="27">
        <f t="shared" ref="B29:C29" si="23">B22</f>
        <v>29.876000000000001</v>
      </c>
      <c r="C29" s="27">
        <f t="shared" si="23"/>
        <v>24.978000000000002</v>
      </c>
      <c r="D29" s="27">
        <f t="shared" ref="D29:E29" si="24">D22</f>
        <v>27.841000000000001</v>
      </c>
      <c r="E29" s="27">
        <f t="shared" si="24"/>
        <v>25.643000000000001</v>
      </c>
      <c r="F29" s="27">
        <f t="shared" ref="F29:J29" si="25">F22</f>
        <v>28.459</v>
      </c>
      <c r="G29" s="27">
        <f t="shared" si="25"/>
        <v>21.192</v>
      </c>
      <c r="H29" s="27">
        <f t="shared" si="25"/>
        <v>29.408000000000001</v>
      </c>
      <c r="I29" s="27">
        <f t="shared" si="25"/>
        <v>28.29</v>
      </c>
      <c r="J29" s="27">
        <f t="shared" si="25"/>
        <v>26.041</v>
      </c>
      <c r="K29" s="27">
        <f t="shared" ref="K29:X29" si="26">K22</f>
        <v>21.968</v>
      </c>
      <c r="L29" s="27">
        <f t="shared" si="26"/>
        <v>27.143000000000001</v>
      </c>
      <c r="M29" s="27">
        <f t="shared" si="26"/>
        <v>25.103999999999999</v>
      </c>
      <c r="N29" s="27">
        <f t="shared" si="26"/>
        <v>22.655000000000001</v>
      </c>
      <c r="O29" s="27">
        <f t="shared" si="26"/>
        <v>19.295000000000002</v>
      </c>
      <c r="P29" s="27">
        <f t="shared" si="26"/>
        <v>24.686</v>
      </c>
      <c r="Q29" s="27">
        <f t="shared" si="26"/>
        <v>23.484000000000002</v>
      </c>
      <c r="R29" s="27">
        <f t="shared" si="26"/>
        <v>17.917999999999999</v>
      </c>
      <c r="S29" s="27">
        <f t="shared" si="26"/>
        <v>13.512</v>
      </c>
      <c r="T29" s="27">
        <f t="shared" si="26"/>
        <v>18.366</v>
      </c>
      <c r="U29" s="27">
        <f t="shared" si="26"/>
        <v>19.744</v>
      </c>
      <c r="V29" s="27">
        <f t="shared" si="26"/>
        <v>19.265000000000001</v>
      </c>
      <c r="W29" s="27">
        <f t="shared" si="26"/>
        <v>17.949000000000002</v>
      </c>
      <c r="X29" s="27">
        <f t="shared" si="26"/>
        <v>17.581</v>
      </c>
      <c r="Z29" s="75"/>
      <c r="AA29" s="75"/>
    </row>
    <row r="30" spans="1:27" s="33" customFormat="1">
      <c r="A30" s="20" t="s">
        <v>63</v>
      </c>
      <c r="B30" s="20">
        <v>-13.064</v>
      </c>
      <c r="C30" s="20">
        <v>-13.502000000000001</v>
      </c>
      <c r="D30" s="20">
        <v>-13.54</v>
      </c>
      <c r="E30" s="20">
        <v>-14.170999999999999</v>
      </c>
      <c r="F30" s="20">
        <v>-14.67</v>
      </c>
      <c r="G30" s="20">
        <v>-14.656000000000001</v>
      </c>
      <c r="H30" s="20">
        <v>-14.792</v>
      </c>
      <c r="I30" s="20">
        <v>-14.367000000000001</v>
      </c>
      <c r="J30" s="20">
        <v>-14.055</v>
      </c>
      <c r="K30" s="20">
        <v>-14.727</v>
      </c>
      <c r="L30" s="20">
        <v>-13.869</v>
      </c>
      <c r="M30" s="20">
        <v>-13.403</v>
      </c>
      <c r="N30" s="20">
        <v>-12.372999999999999</v>
      </c>
      <c r="O30" s="20">
        <v>-12.444000000000001</v>
      </c>
      <c r="P30" s="20">
        <v>-12.259</v>
      </c>
      <c r="Q30" s="20">
        <v>-10.659000000000001</v>
      </c>
      <c r="R30" s="20">
        <v>-10.566000000000001</v>
      </c>
      <c r="S30" s="20">
        <v>-10.023999999999999</v>
      </c>
      <c r="T30" s="20">
        <v>-10.06</v>
      </c>
      <c r="U30" s="20">
        <v>-9.8330000000000002</v>
      </c>
      <c r="V30" s="20">
        <v>-9.3089999999999993</v>
      </c>
      <c r="W30" s="20">
        <v>-9.0540000000000003</v>
      </c>
      <c r="X30" s="20">
        <v>-17.937000000000001</v>
      </c>
    </row>
    <row r="31" spans="1:27" s="33" customFormat="1">
      <c r="A31" s="20" t="s">
        <v>64</v>
      </c>
      <c r="B31" s="20">
        <v>-9.1999999999999998E-2</v>
      </c>
      <c r="C31" s="20">
        <v>0.80500000000000005</v>
      </c>
      <c r="D31" s="20">
        <v>0.80500000000000005</v>
      </c>
      <c r="E31" s="20">
        <v>5.0000000000000001E-3</v>
      </c>
      <c r="F31" s="20">
        <v>1.125</v>
      </c>
      <c r="G31" s="20">
        <v>-0.53300000000000003</v>
      </c>
      <c r="H31" s="20">
        <v>-0.32500000000000001</v>
      </c>
      <c r="I31" s="20">
        <v>-0.26200000000000001</v>
      </c>
      <c r="J31" s="20">
        <v>-0.32900000000000001</v>
      </c>
      <c r="K31" s="20">
        <v>-0.56100000000000005</v>
      </c>
      <c r="L31" s="20">
        <v>-0.27500000000000002</v>
      </c>
      <c r="M31" s="20">
        <v>-0.223</v>
      </c>
      <c r="N31" s="20">
        <v>-0.34599999999999997</v>
      </c>
      <c r="O31" s="20">
        <v>-0.32500000000000001</v>
      </c>
      <c r="P31" s="20">
        <v>-0.16800000000000001</v>
      </c>
      <c r="Q31" s="20">
        <v>-0.41</v>
      </c>
      <c r="R31" s="20">
        <v>-0.182</v>
      </c>
      <c r="S31" s="20">
        <v>-0.71299999999999997</v>
      </c>
      <c r="T31" s="20">
        <v>7.0000000000000007E-2</v>
      </c>
      <c r="U31" s="20">
        <v>-3.3000000000000002E-2</v>
      </c>
      <c r="V31" s="20">
        <v>-4.2999999999999997E-2</v>
      </c>
      <c r="W31" s="20">
        <v>-0.23499999999999999</v>
      </c>
      <c r="X31" s="20">
        <v>-0.61099999999999999</v>
      </c>
    </row>
    <row r="32" spans="1:27" s="33" customFormat="1">
      <c r="A32" s="20" t="s">
        <v>65</v>
      </c>
      <c r="B32" s="20">
        <v>-20.518000000000001</v>
      </c>
      <c r="C32" s="20">
        <f>-3.004+0.671-0.229+2.318+0.551-4.944+0.626+1.332-0.652-0.204</f>
        <v>-3.5350000000000006</v>
      </c>
      <c r="D32" s="20">
        <v>1.3540000000000003</v>
      </c>
      <c r="E32" s="20">
        <v>19.042000000000002</v>
      </c>
      <c r="F32" s="20">
        <v>0.69799999999999884</v>
      </c>
      <c r="G32" s="20">
        <v>5.4559999999999995</v>
      </c>
      <c r="H32" s="20">
        <v>21.652999999999999</v>
      </c>
      <c r="I32" s="20">
        <v>-4.6790000000000003</v>
      </c>
      <c r="J32" s="20">
        <v>-3.9379999999999997</v>
      </c>
      <c r="K32" s="20">
        <v>-0.45700000000000002</v>
      </c>
      <c r="L32" s="20">
        <f>-1.31+3.748-0.003+0.307+0.688+1.854+0.104+0.491-0.147-0.275</f>
        <v>5.456999999999999</v>
      </c>
      <c r="M32" s="20">
        <f>-8.146+3.163+0.686+4.418+1.433-1.297-0.361-0.756+1.27+0.204</f>
        <v>0.61399999999999966</v>
      </c>
      <c r="N32" s="20">
        <v>-18.776</v>
      </c>
      <c r="O32" s="20">
        <v>-2.1329999999999996</v>
      </c>
      <c r="P32" s="20">
        <v>-11.631999999999998</v>
      </c>
      <c r="Q32" s="20">
        <v>9.3369999999999997</v>
      </c>
      <c r="R32" s="20">
        <v>-15.331</v>
      </c>
      <c r="S32" s="20">
        <v>13.254000000000001</v>
      </c>
      <c r="T32" s="20">
        <v>-6.176000000000001</v>
      </c>
      <c r="U32" s="20">
        <v>10.543000000000001</v>
      </c>
      <c r="V32" s="20">
        <v>-7.85</v>
      </c>
      <c r="W32" s="20">
        <v>5.927999999999999</v>
      </c>
      <c r="X32" s="20">
        <v>1.7829999999999999</v>
      </c>
    </row>
    <row r="33" spans="1:27"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c r="W33" s="20">
        <v>0</v>
      </c>
      <c r="X33" s="20">
        <v>0</v>
      </c>
    </row>
    <row r="34" spans="1:27" s="33" customFormat="1">
      <c r="A34" s="20" t="s">
        <v>57</v>
      </c>
      <c r="B34" s="29">
        <f t="shared" ref="B34" si="27">B35-SUM(B29:B33)</f>
        <v>-4.668000000000001</v>
      </c>
      <c r="C34" s="29">
        <f t="shared" ref="C34:D34" si="28">C35-SUM(C29:C33)</f>
        <v>-3.423</v>
      </c>
      <c r="D34" s="29">
        <f t="shared" si="28"/>
        <v>-3.0990000000000002</v>
      </c>
      <c r="E34" s="29">
        <f t="shared" ref="E34:F34" si="29">E35-SUM(E29:E33)</f>
        <v>-2.3100000000000058</v>
      </c>
      <c r="F34" s="29">
        <f t="shared" si="29"/>
        <v>-2.1689999999999987</v>
      </c>
      <c r="G34" s="29">
        <f t="shared" ref="G34:O34" si="30">G35-SUM(G29:G33)</f>
        <v>-14.093</v>
      </c>
      <c r="H34" s="29">
        <f t="shared" si="30"/>
        <v>-3.6630000000000038</v>
      </c>
      <c r="I34" s="29">
        <f t="shared" si="30"/>
        <v>-2.8569999999999975</v>
      </c>
      <c r="J34" s="29">
        <f t="shared" si="30"/>
        <v>-3.8180000000000005</v>
      </c>
      <c r="K34" s="29">
        <f t="shared" si="30"/>
        <v>-1.0279999999999996</v>
      </c>
      <c r="L34" s="29">
        <f t="shared" si="30"/>
        <v>-5.3699999999999992</v>
      </c>
      <c r="M34" s="29">
        <f t="shared" si="30"/>
        <v>-2.7029999999999976</v>
      </c>
      <c r="N34" s="29">
        <f t="shared" si="30"/>
        <v>-4.6480000000000015</v>
      </c>
      <c r="O34" s="29">
        <f t="shared" si="30"/>
        <v>-1.0340000000000007</v>
      </c>
      <c r="P34" s="29">
        <f t="shared" ref="P34:X34" si="31">P35-SUM(P29:P33)</f>
        <v>-9.1460000000000026</v>
      </c>
      <c r="Q34" s="29">
        <f t="shared" si="31"/>
        <v>-6.1880000000000024</v>
      </c>
      <c r="R34" s="29">
        <f t="shared" si="31"/>
        <v>-5.5959999999999983</v>
      </c>
      <c r="S34" s="29">
        <f t="shared" si="31"/>
        <v>-8.5050000000000026</v>
      </c>
      <c r="T34" s="29">
        <f t="shared" si="31"/>
        <v>-9.8749999999999982</v>
      </c>
      <c r="U34" s="29">
        <f t="shared" si="31"/>
        <v>-11.754</v>
      </c>
      <c r="V34" s="29">
        <f t="shared" si="31"/>
        <v>-3.6710000000000025</v>
      </c>
      <c r="W34" s="29">
        <f t="shared" si="31"/>
        <v>-13.061000000000002</v>
      </c>
      <c r="X34" s="29">
        <f t="shared" si="31"/>
        <v>-1.3369999999999984</v>
      </c>
    </row>
    <row r="35" spans="1:27" s="27" customFormat="1">
      <c r="A35" s="27" t="s">
        <v>67</v>
      </c>
      <c r="B35" s="27">
        <v>-8.4659999999999993</v>
      </c>
      <c r="C35" s="27">
        <v>5.3230000000000004</v>
      </c>
      <c r="D35" s="27">
        <v>13.361000000000001</v>
      </c>
      <c r="E35" s="27">
        <v>28.209</v>
      </c>
      <c r="F35" s="27">
        <v>13.443</v>
      </c>
      <c r="G35" s="27">
        <v>-2.6339999999999999</v>
      </c>
      <c r="H35" s="27">
        <v>32.280999999999999</v>
      </c>
      <c r="I35" s="27">
        <v>6.125</v>
      </c>
      <c r="J35" s="27">
        <v>3.9009999999999998</v>
      </c>
      <c r="K35" s="27">
        <v>5.1950000000000003</v>
      </c>
      <c r="L35" s="27">
        <v>13.086</v>
      </c>
      <c r="M35" s="27">
        <v>9.3889999999999993</v>
      </c>
      <c r="N35" s="27">
        <v>-13.488</v>
      </c>
      <c r="O35" s="27">
        <v>3.359</v>
      </c>
      <c r="P35" s="27">
        <v>-8.5190000000000001</v>
      </c>
      <c r="Q35" s="27">
        <v>15.564</v>
      </c>
      <c r="R35" s="27">
        <v>-13.757</v>
      </c>
      <c r="S35" s="27">
        <v>7.524</v>
      </c>
      <c r="T35" s="27">
        <v>-7.6749999999999998</v>
      </c>
      <c r="U35" s="27">
        <v>8.6669999999999998</v>
      </c>
      <c r="V35" s="27">
        <v>-1.6080000000000001</v>
      </c>
      <c r="W35" s="27">
        <v>1.5269999999999999</v>
      </c>
      <c r="X35" s="27">
        <v>-0.52100000000000002</v>
      </c>
    </row>
    <row r="36" spans="1:27" s="33" customFormat="1">
      <c r="A36" s="20" t="s">
        <v>68</v>
      </c>
      <c r="B36" s="29">
        <f>-2.735+0.932</f>
        <v>-1.8029999999999999</v>
      </c>
      <c r="C36" s="29">
        <f>-2.296+1.323</f>
        <v>-0.97299999999999986</v>
      </c>
      <c r="D36" s="29">
        <v>-5.4610000000000003</v>
      </c>
      <c r="E36" s="29">
        <v>-1.6690000000000003</v>
      </c>
      <c r="F36" s="29">
        <f>-3.207+2.315</f>
        <v>-0.8919999999999999</v>
      </c>
      <c r="G36" s="29">
        <v>-1.286</v>
      </c>
      <c r="H36" s="29">
        <v>-3.1760000000000002</v>
      </c>
      <c r="I36" s="29">
        <v>-0.8279999999999994</v>
      </c>
      <c r="J36" s="29">
        <f>-6.355+3.175</f>
        <v>-3.1800000000000006</v>
      </c>
      <c r="K36" s="29">
        <v>-7.0289999999999999</v>
      </c>
      <c r="L36" s="29">
        <v>-6.0369999999999999</v>
      </c>
      <c r="M36" s="29">
        <v>-4.694</v>
      </c>
      <c r="N36" s="29">
        <f>-6.105+0.99</f>
        <v>-5.1150000000000002</v>
      </c>
      <c r="O36" s="29">
        <v>-2.2600000000000002</v>
      </c>
      <c r="P36" s="29">
        <v>-0.33399999999999963</v>
      </c>
      <c r="Q36" s="29">
        <v>-2.8360000000000003</v>
      </c>
      <c r="R36" s="29">
        <v>-1.7469999999999999</v>
      </c>
      <c r="S36" s="29">
        <v>-9.5339999999999989</v>
      </c>
      <c r="T36" s="29">
        <v>-2.0270000000000001</v>
      </c>
      <c r="U36" s="29">
        <v>-1.4100000000000001</v>
      </c>
      <c r="V36" s="29">
        <v>-0.25</v>
      </c>
      <c r="W36" s="29">
        <v>-1.9989999999999997</v>
      </c>
      <c r="X36" s="29">
        <v>-7.8020000000000005</v>
      </c>
    </row>
    <row r="37" spans="1:27" s="27" customFormat="1">
      <c r="A37" s="27" t="s">
        <v>69</v>
      </c>
      <c r="B37" s="27">
        <f t="shared" ref="B37:C37" si="32">+B35+B36</f>
        <v>-10.268999999999998</v>
      </c>
      <c r="C37" s="27">
        <f t="shared" si="32"/>
        <v>4.3500000000000005</v>
      </c>
      <c r="D37" s="27">
        <f t="shared" ref="D37:Q37" si="33">+D35+D36</f>
        <v>7.9</v>
      </c>
      <c r="E37" s="27">
        <f t="shared" si="33"/>
        <v>26.54</v>
      </c>
      <c r="F37" s="27">
        <f t="shared" si="33"/>
        <v>12.551</v>
      </c>
      <c r="G37" s="27">
        <f t="shared" si="33"/>
        <v>-3.92</v>
      </c>
      <c r="H37" s="27">
        <f t="shared" si="33"/>
        <v>29.104999999999997</v>
      </c>
      <c r="I37" s="27">
        <f t="shared" si="33"/>
        <v>5.2970000000000006</v>
      </c>
      <c r="J37" s="27">
        <f t="shared" si="33"/>
        <v>0.7209999999999992</v>
      </c>
      <c r="K37" s="27">
        <f t="shared" si="33"/>
        <v>-1.8339999999999996</v>
      </c>
      <c r="L37" s="27">
        <f t="shared" si="33"/>
        <v>7.0490000000000004</v>
      </c>
      <c r="M37" s="27">
        <f t="shared" si="33"/>
        <v>4.6949999999999994</v>
      </c>
      <c r="N37" s="27">
        <f t="shared" si="33"/>
        <v>-18.603000000000002</v>
      </c>
      <c r="O37" s="27">
        <f t="shared" si="33"/>
        <v>1.0989999999999998</v>
      </c>
      <c r="P37" s="27">
        <f t="shared" si="33"/>
        <v>-8.8529999999999998</v>
      </c>
      <c r="Q37" s="27">
        <f t="shared" si="33"/>
        <v>12.728</v>
      </c>
      <c r="R37" s="27">
        <f t="shared" ref="R37:X37" si="34">+R35+R36</f>
        <v>-15.504</v>
      </c>
      <c r="S37" s="27">
        <f t="shared" si="34"/>
        <v>-2.0099999999999989</v>
      </c>
      <c r="T37" s="27">
        <f t="shared" si="34"/>
        <v>-9.702</v>
      </c>
      <c r="U37" s="27">
        <f t="shared" si="34"/>
        <v>7.2569999999999997</v>
      </c>
      <c r="V37" s="27">
        <f t="shared" si="34"/>
        <v>-1.8580000000000001</v>
      </c>
      <c r="W37" s="27">
        <f t="shared" si="34"/>
        <v>-0.47199999999999975</v>
      </c>
      <c r="X37" s="27">
        <f t="shared" si="34"/>
        <v>-8.3230000000000004</v>
      </c>
    </row>
    <row r="38" spans="1:27">
      <c r="B38" s="24"/>
      <c r="C38" s="24"/>
      <c r="D38" s="24"/>
      <c r="E38" s="24"/>
      <c r="F38" s="24"/>
      <c r="G38" s="24"/>
      <c r="H38" s="24"/>
      <c r="I38" s="24"/>
      <c r="J38" s="24"/>
      <c r="K38" s="24"/>
      <c r="L38" s="24"/>
      <c r="M38" s="24"/>
      <c r="N38" s="24"/>
      <c r="O38" s="24"/>
      <c r="P38" s="24"/>
      <c r="Q38" s="24"/>
      <c r="R38" s="24"/>
      <c r="S38" s="24"/>
      <c r="T38" s="24"/>
      <c r="U38" s="24"/>
      <c r="V38" s="24"/>
      <c r="W38" s="24"/>
      <c r="X38" s="24"/>
      <c r="Z38" s="76"/>
      <c r="AA38" s="76"/>
    </row>
    <row r="39" spans="1:27" s="35" customFormat="1">
      <c r="A39" s="34" t="s">
        <v>70</v>
      </c>
      <c r="B39" s="20">
        <f>C39+54.7-34.9</f>
        <v>52.199999999999996</v>
      </c>
      <c r="C39" s="20">
        <v>32.4</v>
      </c>
      <c r="D39" s="20">
        <v>24</v>
      </c>
      <c r="E39" s="20">
        <f>68.7+2.467</f>
        <v>71.167000000000002</v>
      </c>
      <c r="F39" s="20">
        <f>68.7+2.467</f>
        <v>71.167000000000002</v>
      </c>
      <c r="G39" s="20">
        <v>43</v>
      </c>
      <c r="H39" s="20">
        <v>25.8</v>
      </c>
      <c r="I39" s="20">
        <v>25.8</v>
      </c>
      <c r="J39" s="20">
        <v>25.8</v>
      </c>
      <c r="K39" s="20">
        <v>4.5999999999999996</v>
      </c>
      <c r="L39" s="20">
        <v>0</v>
      </c>
      <c r="M39" s="20">
        <v>0</v>
      </c>
      <c r="N39" s="20">
        <v>39.519000000000005</v>
      </c>
      <c r="O39" s="20">
        <v>7</v>
      </c>
      <c r="P39" s="20">
        <v>7</v>
      </c>
      <c r="Q39" s="20">
        <v>7</v>
      </c>
      <c r="R39" s="20">
        <v>68.5</v>
      </c>
      <c r="S39" s="20">
        <v>56.3</v>
      </c>
      <c r="T39" s="20">
        <v>43.762000000000008</v>
      </c>
      <c r="U39" s="20">
        <v>30.181000000000004</v>
      </c>
      <c r="V39" s="20"/>
      <c r="W39" s="20"/>
      <c r="X39" s="20"/>
    </row>
    <row r="40" spans="1:27" s="35" customFormat="1">
      <c r="A40" s="34" t="s">
        <v>71</v>
      </c>
      <c r="B40" s="20">
        <f>C40-4.622-4.312</f>
        <v>579.04300000000001</v>
      </c>
      <c r="C40" s="20">
        <f>510.58+15.545+4.102+57.75</f>
        <v>587.97699999999998</v>
      </c>
      <c r="D40" s="20">
        <f>621.258-D39</f>
        <v>597.25800000000004</v>
      </c>
      <c r="E40" s="20">
        <f>514.61+18.99+65.479</f>
        <v>599.07900000000006</v>
      </c>
      <c r="F40" s="20">
        <f>514.61+65.479+18.99</f>
        <v>599.07900000000006</v>
      </c>
      <c r="G40" s="20">
        <f>515.954+16.03+4.008+63.604</f>
        <v>599.596</v>
      </c>
      <c r="H40" s="20">
        <f>602.16-H39</f>
        <v>576.36</v>
      </c>
      <c r="I40" s="20">
        <f>604.667-I39</f>
        <v>578.86700000000008</v>
      </c>
      <c r="J40" s="20">
        <f>607.174-J39</f>
        <v>581.37400000000002</v>
      </c>
      <c r="K40" s="20">
        <f>585.974-K39</f>
        <v>581.37400000000002</v>
      </c>
      <c r="L40" s="20">
        <f>567.894-L39</f>
        <v>567.89400000000001</v>
      </c>
      <c r="M40" s="20">
        <f>567.894-M39</f>
        <v>567.89400000000001</v>
      </c>
      <c r="N40" s="20">
        <f>534.615-N39</f>
        <v>495.096</v>
      </c>
      <c r="O40" s="20">
        <f>503.491-O39</f>
        <v>496.49099999999999</v>
      </c>
      <c r="P40" s="20">
        <f>410+60+18+23</f>
        <v>511</v>
      </c>
      <c r="Q40" s="20">
        <f>518-Q39</f>
        <v>511</v>
      </c>
      <c r="R40" s="20">
        <f>500.635-R39</f>
        <v>432.13499999999999</v>
      </c>
      <c r="S40" s="20">
        <f>493.119-S39</f>
        <v>436.81900000000002</v>
      </c>
      <c r="T40" s="20">
        <f>453.699-T39</f>
        <v>409.93700000000001</v>
      </c>
      <c r="U40" s="20">
        <f>441.927-U39</f>
        <v>411.74600000000004</v>
      </c>
      <c r="V40" s="20"/>
      <c r="W40" s="20"/>
      <c r="X40" s="20"/>
    </row>
    <row r="41" spans="1:27" s="35" customFormat="1">
      <c r="A41" s="34" t="s">
        <v>72</v>
      </c>
      <c r="B41" s="20">
        <f>B39+B40+120+18.261</f>
        <v>769.50400000000002</v>
      </c>
      <c r="C41" s="20">
        <f>C39+C40+120+18.261</f>
        <v>758.63799999999992</v>
      </c>
      <c r="D41" s="20">
        <f>D39+D40+120+16.309</f>
        <v>757.56700000000001</v>
      </c>
      <c r="E41" s="20">
        <f>E39+E40+120+19.959</f>
        <v>810.20500000000004</v>
      </c>
      <c r="F41" s="20">
        <f>F39+F40+120+19.959</f>
        <v>810.20500000000004</v>
      </c>
      <c r="G41" s="20">
        <f>G39+G40+120+22.425</f>
        <v>785.02099999999996</v>
      </c>
      <c r="H41" s="20">
        <v>743.58100000000002</v>
      </c>
      <c r="I41" s="20">
        <v>746.08799999999997</v>
      </c>
      <c r="J41" s="20">
        <v>748.59500000000003</v>
      </c>
      <c r="K41" s="20">
        <v>727.3950000000001</v>
      </c>
      <c r="L41" s="20">
        <f>L39+L40+120+21</f>
        <v>708.89400000000001</v>
      </c>
      <c r="M41" s="20">
        <v>708.89400000000001</v>
      </c>
      <c r="N41" s="20">
        <v>681.298</v>
      </c>
      <c r="O41" s="20">
        <v>650.17399999999998</v>
      </c>
      <c r="P41" s="20">
        <f>P39+P40+120</f>
        <v>638</v>
      </c>
      <c r="Q41" s="20">
        <v>638</v>
      </c>
      <c r="R41" s="20">
        <v>635.15499999999997</v>
      </c>
      <c r="S41" s="20">
        <v>627.63900000000001</v>
      </c>
      <c r="T41" s="20">
        <v>575.96499999999992</v>
      </c>
      <c r="U41" s="20">
        <v>564.19299999999987</v>
      </c>
      <c r="V41" s="20"/>
      <c r="W41" s="20"/>
      <c r="X41" s="20"/>
    </row>
    <row r="42" spans="1:27" s="35" customFormat="1">
      <c r="A42" s="34" t="s">
        <v>73</v>
      </c>
      <c r="B42" s="36">
        <v>319</v>
      </c>
      <c r="C42" s="36">
        <v>319</v>
      </c>
      <c r="D42" s="36">
        <v>319</v>
      </c>
      <c r="E42" s="36">
        <v>319</v>
      </c>
      <c r="F42" s="36">
        <v>319</v>
      </c>
      <c r="G42" s="36">
        <v>319</v>
      </c>
      <c r="H42" s="36">
        <v>319</v>
      </c>
      <c r="I42" s="36">
        <v>319</v>
      </c>
      <c r="J42" s="36">
        <v>319</v>
      </c>
      <c r="K42" s="36">
        <v>319</v>
      </c>
      <c r="L42" s="36">
        <v>319</v>
      </c>
      <c r="M42" s="36">
        <v>319</v>
      </c>
      <c r="N42" s="36">
        <v>319</v>
      </c>
      <c r="O42" s="36">
        <v>319</v>
      </c>
      <c r="P42" s="36">
        <v>319</v>
      </c>
      <c r="Q42" s="36">
        <v>319</v>
      </c>
      <c r="R42" s="36">
        <v>319</v>
      </c>
      <c r="S42" s="36">
        <v>319</v>
      </c>
      <c r="T42" s="36">
        <v>319</v>
      </c>
      <c r="U42" s="36">
        <v>319</v>
      </c>
      <c r="V42" s="36"/>
      <c r="W42" s="36"/>
      <c r="X42" s="36"/>
    </row>
    <row r="43" spans="1:27">
      <c r="B43" s="24"/>
      <c r="C43" s="24"/>
      <c r="D43" s="24"/>
      <c r="E43" s="24"/>
      <c r="F43" s="24"/>
      <c r="G43" s="24"/>
      <c r="H43" s="24"/>
      <c r="I43" s="24"/>
      <c r="J43" s="24"/>
      <c r="K43" s="24"/>
      <c r="L43" s="24"/>
      <c r="M43" s="24"/>
      <c r="N43" s="24"/>
      <c r="O43" s="24"/>
      <c r="P43" s="24"/>
      <c r="Q43" s="24"/>
      <c r="R43" s="24"/>
      <c r="S43" s="24"/>
      <c r="T43" s="24"/>
      <c r="U43" s="24"/>
      <c r="V43" s="24"/>
      <c r="W43" s="24"/>
      <c r="X43" s="24"/>
    </row>
    <row r="44" spans="1:27">
      <c r="A44" s="19" t="s">
        <v>74</v>
      </c>
      <c r="B44" s="28">
        <v>10.529</v>
      </c>
      <c r="C44" s="28">
        <v>10.14</v>
      </c>
      <c r="D44" s="28">
        <v>11.462999999999999</v>
      </c>
      <c r="E44" s="28">
        <v>40.892000000000003</v>
      </c>
      <c r="F44" s="28">
        <v>38.496000000000002</v>
      </c>
      <c r="G44" s="28">
        <v>6.9489999999999998</v>
      </c>
      <c r="H44" s="28">
        <v>8.9529999999999994</v>
      </c>
      <c r="I44" s="28">
        <v>4.6619999999999999</v>
      </c>
      <c r="J44" s="28">
        <v>4.9020000000000001</v>
      </c>
      <c r="K44" s="28">
        <v>6.4</v>
      </c>
      <c r="L44" s="28">
        <v>8.9920000000000009</v>
      </c>
      <c r="M44" s="28">
        <v>15</v>
      </c>
      <c r="N44" s="28">
        <v>4.9820000000000002</v>
      </c>
      <c r="O44" s="28">
        <v>3.2269999999999999</v>
      </c>
      <c r="P44" s="28">
        <v>10.005000000000001</v>
      </c>
      <c r="Q44" s="28">
        <v>12.859</v>
      </c>
      <c r="R44" s="28">
        <v>20.359000000000002</v>
      </c>
      <c r="S44" s="28">
        <v>19.594999999999999</v>
      </c>
      <c r="T44" s="28">
        <v>5.8230000000000004</v>
      </c>
      <c r="U44" s="28">
        <v>9.1259999999999994</v>
      </c>
      <c r="V44" s="28"/>
      <c r="W44" s="28"/>
      <c r="X44" s="28"/>
    </row>
    <row r="46" spans="1:27">
      <c r="A46" s="14" t="s">
        <v>75</v>
      </c>
      <c r="B46" s="33">
        <f t="shared" ref="B46:U46" si="35">SUM(B12:E12)</f>
        <v>1002.0140000000001</v>
      </c>
      <c r="C46" s="33">
        <f t="shared" si="35"/>
        <v>1013.018</v>
      </c>
      <c r="D46" s="33">
        <f t="shared" si="35"/>
        <v>1028.6880000000001</v>
      </c>
      <c r="E46" s="33">
        <f t="shared" si="35"/>
        <v>1065.3960000000002</v>
      </c>
      <c r="F46" s="33">
        <f t="shared" si="35"/>
        <v>1123.144</v>
      </c>
      <c r="G46" s="33">
        <f t="shared" si="35"/>
        <v>1123.5369999999998</v>
      </c>
      <c r="H46" s="33">
        <f t="shared" si="35"/>
        <v>1127.1559999999999</v>
      </c>
      <c r="I46" s="33">
        <f t="shared" si="35"/>
        <v>1114.5430000000001</v>
      </c>
      <c r="J46" s="33">
        <f t="shared" si="35"/>
        <v>1100.7320000000002</v>
      </c>
      <c r="K46" s="33">
        <f t="shared" si="35"/>
        <v>1082.7430000000002</v>
      </c>
      <c r="L46" s="33">
        <f t="shared" si="35"/>
        <v>1053.9780000000001</v>
      </c>
      <c r="M46" s="33">
        <f t="shared" si="35"/>
        <v>1018.7410000000002</v>
      </c>
      <c r="N46" s="33">
        <f t="shared" si="35"/>
        <v>981.3130000000001</v>
      </c>
      <c r="O46" s="33">
        <f t="shared" si="35"/>
        <v>943.49199999999996</v>
      </c>
      <c r="P46" s="33">
        <f t="shared" si="35"/>
        <v>893.82599999999991</v>
      </c>
      <c r="Q46" s="33">
        <f t="shared" si="35"/>
        <v>852.23779999999988</v>
      </c>
      <c r="R46" s="33">
        <f t="shared" si="35"/>
        <v>810.76679999999988</v>
      </c>
      <c r="S46" s="33">
        <f t="shared" si="35"/>
        <v>789.75279999999998</v>
      </c>
      <c r="T46" s="33">
        <f t="shared" si="35"/>
        <v>794.91180000000008</v>
      </c>
      <c r="U46" s="33">
        <f t="shared" si="35"/>
        <v>809.52800000000002</v>
      </c>
    </row>
    <row r="47" spans="1:27">
      <c r="A47" s="14" t="s">
        <v>76</v>
      </c>
      <c r="B47" s="33">
        <f t="shared" ref="B47:C47" si="36">+B27</f>
        <v>114.58199999999999</v>
      </c>
      <c r="C47" s="33">
        <f t="shared" si="36"/>
        <v>110.134</v>
      </c>
      <c r="D47" s="33">
        <f t="shared" ref="D47:E47" si="37">+D27</f>
        <v>110.179</v>
      </c>
      <c r="E47" s="33">
        <f t="shared" si="37"/>
        <v>111.20399999999999</v>
      </c>
      <c r="F47" s="33">
        <f t="shared" ref="F47:G47" si="38">+F27</f>
        <v>114.58199999999999</v>
      </c>
      <c r="G47" s="33">
        <f t="shared" si="38"/>
        <v>112.601</v>
      </c>
      <c r="H47" s="33">
        <f t="shared" ref="H47:I47" si="39">+H27</f>
        <v>117.313</v>
      </c>
      <c r="I47" s="33">
        <f t="shared" si="39"/>
        <v>106.366</v>
      </c>
      <c r="J47" s="33">
        <f t="shared" ref="J47:O47" si="40">+J27</f>
        <v>104.752</v>
      </c>
      <c r="K47" s="33">
        <f t="shared" si="40"/>
        <v>100.139</v>
      </c>
      <c r="L47" s="33">
        <f t="shared" si="40"/>
        <v>95.677999999999997</v>
      </c>
      <c r="M47" s="33">
        <f t="shared" si="40"/>
        <v>93.153000000000006</v>
      </c>
      <c r="N47" s="33">
        <f t="shared" si="40"/>
        <v>93.11</v>
      </c>
      <c r="O47" s="33">
        <f t="shared" si="40"/>
        <v>88.977999999999994</v>
      </c>
      <c r="P47" s="33">
        <f t="shared" ref="P47:U47" si="41">+P27</f>
        <v>85.736000000000004</v>
      </c>
      <c r="Q47" s="33">
        <f t="shared" si="41"/>
        <v>79.459000000000003</v>
      </c>
      <c r="R47" s="33">
        <f t="shared" si="41"/>
        <v>69.539999999999992</v>
      </c>
      <c r="S47" s="33">
        <f t="shared" si="41"/>
        <v>70.887</v>
      </c>
      <c r="T47" s="33">
        <f t="shared" si="41"/>
        <v>75.323999999999998</v>
      </c>
      <c r="U47" s="33">
        <f t="shared" si="41"/>
        <v>74.539000000000001</v>
      </c>
    </row>
    <row r="48" spans="1:27">
      <c r="A48" s="14" t="s">
        <v>77</v>
      </c>
      <c r="B48" s="33">
        <f t="shared" ref="B48:U48" si="42">+SUM(B37:E37)</f>
        <v>28.521000000000001</v>
      </c>
      <c r="C48" s="33">
        <f t="shared" si="42"/>
        <v>51.341000000000001</v>
      </c>
      <c r="D48" s="33">
        <f t="shared" si="42"/>
        <v>43.070999999999998</v>
      </c>
      <c r="E48" s="33">
        <f t="shared" si="42"/>
        <v>64.275999999999996</v>
      </c>
      <c r="F48" s="33">
        <f t="shared" si="42"/>
        <v>43.033000000000001</v>
      </c>
      <c r="G48" s="33">
        <f t="shared" si="42"/>
        <v>31.202999999999996</v>
      </c>
      <c r="H48" s="33">
        <f t="shared" si="42"/>
        <v>33.289000000000001</v>
      </c>
      <c r="I48" s="33">
        <f t="shared" si="42"/>
        <v>11.233000000000001</v>
      </c>
      <c r="J48" s="33">
        <f t="shared" si="42"/>
        <v>10.631</v>
      </c>
      <c r="K48" s="33">
        <f t="shared" si="42"/>
        <v>-8.6930000000000014</v>
      </c>
      <c r="L48" s="33">
        <f t="shared" si="42"/>
        <v>-5.7600000000000016</v>
      </c>
      <c r="M48" s="33">
        <f t="shared" si="42"/>
        <v>-21.661999999999999</v>
      </c>
      <c r="N48" s="33">
        <f t="shared" si="42"/>
        <v>-13.629</v>
      </c>
      <c r="O48" s="33">
        <f t="shared" si="42"/>
        <v>-10.53</v>
      </c>
      <c r="P48" s="33">
        <f t="shared" si="42"/>
        <v>-13.638999999999999</v>
      </c>
      <c r="Q48" s="33">
        <f t="shared" si="42"/>
        <v>-14.488</v>
      </c>
      <c r="R48" s="33">
        <f t="shared" si="42"/>
        <v>-19.959000000000003</v>
      </c>
      <c r="S48" s="33">
        <f t="shared" si="42"/>
        <v>-6.3130000000000006</v>
      </c>
      <c r="T48" s="33">
        <f t="shared" si="42"/>
        <v>-4.7750000000000004</v>
      </c>
      <c r="U48" s="33">
        <f t="shared" si="42"/>
        <v>-3.3960000000000008</v>
      </c>
    </row>
    <row r="50" spans="1:24" s="37" customFormat="1">
      <c r="A50" s="37" t="s">
        <v>78</v>
      </c>
      <c r="B50" s="37">
        <f t="shared" ref="B50:C50" si="43">+SUM(B39:B40)/B47</f>
        <v>5.5090939240020251</v>
      </c>
      <c r="C50" s="37">
        <f t="shared" si="43"/>
        <v>5.6329289774274969</v>
      </c>
      <c r="D50" s="37">
        <f t="shared" ref="D50:E50" si="44">+SUM(D39:D40)/D47</f>
        <v>5.638624420261575</v>
      </c>
      <c r="E50" s="37">
        <f t="shared" si="44"/>
        <v>6.0271752814646966</v>
      </c>
      <c r="F50" s="37">
        <f t="shared" ref="F50:G50" si="45">+SUM(F39:F40)/F47</f>
        <v>5.8494877031296379</v>
      </c>
      <c r="G50" s="37">
        <f t="shared" si="45"/>
        <v>5.7068409694407691</v>
      </c>
      <c r="H50" s="37">
        <f t="shared" ref="H50:I50" si="46">+SUM(H39:H40)/H47</f>
        <v>5.1329349688440322</v>
      </c>
      <c r="I50" s="37">
        <f t="shared" si="46"/>
        <v>5.6847770904236317</v>
      </c>
      <c r="J50" s="37">
        <f t="shared" ref="J50:K50" si="47">+SUM(J39:J40)/J47</f>
        <v>5.7962998319841148</v>
      </c>
      <c r="K50" s="37">
        <f t="shared" si="47"/>
        <v>5.8516062672884699</v>
      </c>
      <c r="L50" s="37">
        <f t="shared" ref="L50:U50" si="48">+SUM(L39:L40)/L47</f>
        <v>5.9354710591776589</v>
      </c>
      <c r="M50" s="37">
        <f t="shared" si="48"/>
        <v>6.0963576052301054</v>
      </c>
      <c r="N50" s="37">
        <f t="shared" si="48"/>
        <v>5.7417570615401141</v>
      </c>
      <c r="O50" s="37">
        <f t="shared" si="48"/>
        <v>5.6586010024949989</v>
      </c>
      <c r="P50" s="37">
        <f t="shared" si="48"/>
        <v>6.0418027433050288</v>
      </c>
      <c r="Q50" s="37">
        <f t="shared" si="48"/>
        <v>6.5190853144388932</v>
      </c>
      <c r="R50" s="37">
        <f t="shared" si="48"/>
        <v>7.1992378487201618</v>
      </c>
      <c r="S50" s="37">
        <f t="shared" si="48"/>
        <v>6.9564094968047741</v>
      </c>
      <c r="T50" s="37">
        <f t="shared" si="48"/>
        <v>6.0232993468217302</v>
      </c>
      <c r="U50" s="37">
        <f t="shared" si="48"/>
        <v>5.9288023719126901</v>
      </c>
    </row>
    <row r="51" spans="1:24" s="37" customFormat="1">
      <c r="A51" s="37" t="s">
        <v>79</v>
      </c>
      <c r="B51" s="37">
        <f t="shared" ref="B51:C51" si="49">+B41/B47</f>
        <v>6.7157494196296108</v>
      </c>
      <c r="C51" s="37">
        <f t="shared" si="49"/>
        <v>6.8883178673252576</v>
      </c>
      <c r="D51" s="37">
        <f t="shared" ref="D51:E51" si="50">+D41/D47</f>
        <v>6.8757839515697183</v>
      </c>
      <c r="E51" s="37">
        <f t="shared" si="50"/>
        <v>7.2857541095644054</v>
      </c>
      <c r="F51" s="37">
        <f t="shared" ref="F51:G51" si="51">+F41/F47</f>
        <v>7.0709622802883532</v>
      </c>
      <c r="G51" s="37">
        <f t="shared" si="51"/>
        <v>6.9717054022610805</v>
      </c>
      <c r="H51" s="37">
        <f t="shared" ref="H51:I51" si="52">+H41/H47</f>
        <v>6.3384364904145318</v>
      </c>
      <c r="I51" s="37">
        <f t="shared" si="52"/>
        <v>7.0143466897316813</v>
      </c>
      <c r="J51" s="37">
        <f t="shared" ref="J51:K51" si="53">+J41/J47</f>
        <v>7.1463552008553544</v>
      </c>
      <c r="K51" s="37">
        <f t="shared" si="53"/>
        <v>7.2638532439908543</v>
      </c>
      <c r="L51" s="37">
        <f t="shared" ref="L51:U51" si="54">+L41/L47</f>
        <v>7.4091640711553337</v>
      </c>
      <c r="M51" s="37">
        <f t="shared" si="54"/>
        <v>7.6099964574409835</v>
      </c>
      <c r="N51" s="37">
        <f t="shared" si="54"/>
        <v>7.3171302760176138</v>
      </c>
      <c r="O51" s="37">
        <f t="shared" si="54"/>
        <v>7.3071321000696807</v>
      </c>
      <c r="P51" s="37">
        <f t="shared" si="54"/>
        <v>7.4414481664644949</v>
      </c>
      <c r="Q51" s="37">
        <f t="shared" si="54"/>
        <v>8.0292981285946201</v>
      </c>
      <c r="R51" s="37">
        <f t="shared" si="54"/>
        <v>9.1336640782283585</v>
      </c>
      <c r="S51" s="37">
        <f t="shared" si="54"/>
        <v>8.8540776164882136</v>
      </c>
      <c r="T51" s="37">
        <f t="shared" si="54"/>
        <v>7.6465004513833561</v>
      </c>
      <c r="U51" s="37">
        <f t="shared" si="54"/>
        <v>7.5690980560511925</v>
      </c>
    </row>
    <row r="52" spans="1:24" s="37" customFormat="1">
      <c r="A52" s="37" t="s">
        <v>80</v>
      </c>
      <c r="B52" s="37">
        <f t="shared" ref="B52:C52" si="55">+(B41-B44)/B47</f>
        <v>6.6238588958126066</v>
      </c>
      <c r="C52" s="37">
        <f t="shared" si="55"/>
        <v>6.7962482067299828</v>
      </c>
      <c r="D52" s="37">
        <f t="shared" ref="D52:E52" si="56">+(D41-D44)/D47</f>
        <v>6.7717441617731149</v>
      </c>
      <c r="E52" s="37">
        <f t="shared" si="56"/>
        <v>6.9180335239739579</v>
      </c>
      <c r="F52" s="37">
        <f t="shared" ref="F52:G52" si="57">+(F41-F44)/F47</f>
        <v>6.7349932799218033</v>
      </c>
      <c r="G52" s="37">
        <f t="shared" si="57"/>
        <v>6.9099919183666216</v>
      </c>
      <c r="H52" s="37">
        <f t="shared" ref="H52:I52" si="58">+(H41-H44)/H47</f>
        <v>6.2621192877174741</v>
      </c>
      <c r="I52" s="37">
        <f t="shared" si="58"/>
        <v>6.9705168944963614</v>
      </c>
      <c r="J52" s="37">
        <f t="shared" ref="J52:K52" si="59">+(J41-J44)/J47</f>
        <v>7.099558958301512</v>
      </c>
      <c r="K52" s="37">
        <f t="shared" si="59"/>
        <v>7.1999420805080954</v>
      </c>
      <c r="L52" s="37">
        <f t="shared" ref="L52:U52" si="60">+(L41-L44)/L47</f>
        <v>7.3151821735404177</v>
      </c>
      <c r="M52" s="37">
        <f t="shared" si="60"/>
        <v>7.448971047631316</v>
      </c>
      <c r="N52" s="37">
        <f t="shared" si="60"/>
        <v>7.2636236709268607</v>
      </c>
      <c r="O52" s="37">
        <f t="shared" si="60"/>
        <v>7.2708647081300999</v>
      </c>
      <c r="P52" s="37">
        <f t="shared" si="60"/>
        <v>7.3247527293085746</v>
      </c>
      <c r="Q52" s="37">
        <f t="shared" si="60"/>
        <v>7.8674662404510496</v>
      </c>
      <c r="R52" s="37">
        <f t="shared" si="60"/>
        <v>8.8408973252804142</v>
      </c>
      <c r="S52" s="37">
        <f t="shared" si="60"/>
        <v>8.5776517556110434</v>
      </c>
      <c r="T52" s="37">
        <f t="shared" si="60"/>
        <v>7.5691944134671543</v>
      </c>
      <c r="U52" s="37">
        <f t="shared" si="60"/>
        <v>7.4466655039643657</v>
      </c>
    </row>
    <row r="53" spans="1:24" s="38" customFormat="1">
      <c r="A53" s="38" t="s">
        <v>81</v>
      </c>
      <c r="B53" s="38">
        <f t="shared" ref="B53:C53" si="61">+B48/B41</f>
        <v>3.7064134819312179E-2</v>
      </c>
      <c r="C53" s="38">
        <f t="shared" si="61"/>
        <v>6.7675228501604193E-2</v>
      </c>
      <c r="D53" s="38">
        <f t="shared" ref="D53:E53" si="62">+D48/D41</f>
        <v>5.6854377236600855E-2</v>
      </c>
      <c r="E53" s="38">
        <f t="shared" si="62"/>
        <v>7.9333008312710979E-2</v>
      </c>
      <c r="F53" s="38">
        <f t="shared" ref="F53:G53" si="63">+F48/F41</f>
        <v>5.3113718133065084E-2</v>
      </c>
      <c r="G53" s="38">
        <f t="shared" si="63"/>
        <v>3.974798126419548E-2</v>
      </c>
      <c r="H53" s="38">
        <f t="shared" ref="H53:I53" si="64">+H48/H41</f>
        <v>4.4768491932956865E-2</v>
      </c>
      <c r="I53" s="38">
        <f t="shared" si="64"/>
        <v>1.5055864723732323E-2</v>
      </c>
      <c r="J53" s="38">
        <f t="shared" ref="J53:O53" si="65">+J48/J41</f>
        <v>1.4201270379844909E-2</v>
      </c>
      <c r="K53" s="38">
        <f t="shared" si="65"/>
        <v>-1.1950865760693983E-2</v>
      </c>
      <c r="L53" s="38">
        <f t="shared" si="65"/>
        <v>-8.1253332656222241E-3</v>
      </c>
      <c r="M53" s="38">
        <f t="shared" si="65"/>
        <v>-3.0557459930539686E-2</v>
      </c>
      <c r="N53" s="38">
        <f t="shared" si="65"/>
        <v>-2.0004462070929315E-2</v>
      </c>
      <c r="O53" s="38">
        <f t="shared" si="65"/>
        <v>-1.6195664545183289E-2</v>
      </c>
      <c r="P53" s="38">
        <f t="shared" ref="P53:U53" si="66">+P48/P41</f>
        <v>-2.1377742946708463E-2</v>
      </c>
      <c r="Q53" s="38">
        <f t="shared" si="66"/>
        <v>-2.2708463949843258E-2</v>
      </c>
      <c r="R53" s="38">
        <f t="shared" si="66"/>
        <v>-3.1423825680345747E-2</v>
      </c>
      <c r="S53" s="38">
        <f t="shared" si="66"/>
        <v>-1.0058329708638247E-2</v>
      </c>
      <c r="T53" s="38">
        <f t="shared" si="66"/>
        <v>-8.2904343145850899E-3</v>
      </c>
      <c r="U53" s="38">
        <f t="shared" si="66"/>
        <v>-6.0192168282839414E-3</v>
      </c>
    </row>
    <row r="54" spans="1:24" s="38" customFormat="1">
      <c r="A54" s="39" t="s">
        <v>82</v>
      </c>
      <c r="B54" s="40"/>
      <c r="C54" s="40"/>
      <c r="D54" s="40"/>
      <c r="E54" s="40"/>
      <c r="F54" s="40"/>
      <c r="G54" s="40"/>
      <c r="H54" s="40"/>
      <c r="I54" s="40"/>
      <c r="J54" s="40"/>
      <c r="K54" s="40"/>
      <c r="L54" s="40"/>
      <c r="M54" s="40"/>
      <c r="N54" s="40"/>
      <c r="O54" s="40"/>
      <c r="P54" s="40"/>
      <c r="Q54" s="40"/>
      <c r="R54" s="40"/>
      <c r="S54" s="40"/>
      <c r="T54" s="40"/>
      <c r="U54" s="40"/>
      <c r="V54" s="39"/>
      <c r="W54" s="39"/>
      <c r="X54" s="39"/>
    </row>
    <row r="55" spans="1:24" s="38" customFormat="1">
      <c r="A55" s="38" t="s">
        <v>83</v>
      </c>
      <c r="B55" s="41">
        <f t="shared" ref="B55:C55" si="67">IF(B42=0,IF(B54="","","*"&amp;TEXT(B54,"0.0x")),(B41+B42-B44)/B47)</f>
        <v>9.4078912918259405</v>
      </c>
      <c r="C55" s="41">
        <f t="shared" si="67"/>
        <v>9.6927197777253156</v>
      </c>
      <c r="D55" s="41">
        <f t="shared" ref="D55:E55" si="68">IF(D42=0,IF(D54="","","*"&amp;TEXT(D54,"0.0x")),(D41+D42-D44)/D47)</f>
        <v>9.6670327376360294</v>
      </c>
      <c r="E55" s="41">
        <f t="shared" si="68"/>
        <v>9.7866353728283144</v>
      </c>
      <c r="F55" s="41">
        <f t="shared" ref="F55:G55" si="69">IF(F42=0,IF(F54="","","*"&amp;TEXT(F54,"0.0x")),(F41+F42-F44)/F47)</f>
        <v>9.5190256759351364</v>
      </c>
      <c r="G55" s="41">
        <f t="shared" si="69"/>
        <v>9.7430040585785189</v>
      </c>
      <c r="H55" s="41">
        <f t="shared" ref="H55:I55" si="70">IF(H42=0,IF(H54="","","*"&amp;TEXT(H54,"0.0x")),(H41+H42-H44)/H47)</f>
        <v>8.9813405163963083</v>
      </c>
      <c r="I55" s="41">
        <f t="shared" si="70"/>
        <v>9.9695955474493729</v>
      </c>
      <c r="J55" s="41">
        <f t="shared" ref="J55:O55" si="71">IF(J42=0,IF(J54="","","*"&amp;TEXT(J54,"0.0x")),(J41+J42-J44)/J47)</f>
        <v>10.144846876431954</v>
      </c>
      <c r="K55" s="41">
        <f t="shared" si="71"/>
        <v>10.38551413535186</v>
      </c>
      <c r="L55" s="41">
        <f t="shared" si="71"/>
        <v>10.649281966596293</v>
      </c>
      <c r="M55" s="41">
        <f t="shared" si="71"/>
        <v>10.873444762916922</v>
      </c>
      <c r="N55" s="41">
        <f t="shared" si="71"/>
        <v>10.689678874449577</v>
      </c>
      <c r="O55" s="41">
        <f t="shared" si="71"/>
        <v>10.856020589359169</v>
      </c>
      <c r="P55" s="41">
        <f t="shared" ref="P55:U55" si="72">IF(P42=0,IF(P54="","","*"&amp;TEXT(P54,"0.0x")),(P41+P42-P44)/P47)</f>
        <v>11.045476812540823</v>
      </c>
      <c r="Q55" s="41">
        <f t="shared" si="72"/>
        <v>11.882115304748361</v>
      </c>
      <c r="R55" s="41">
        <f t="shared" si="72"/>
        <v>13.428185217141214</v>
      </c>
      <c r="S55" s="41">
        <f t="shared" si="72"/>
        <v>13.077771664762228</v>
      </c>
      <c r="T55" s="41">
        <f t="shared" si="72"/>
        <v>11.804232382773087</v>
      </c>
      <c r="U55" s="41">
        <f t="shared" si="72"/>
        <v>11.726304350742563</v>
      </c>
      <c r="V55" s="41" t="str">
        <f>IF(V42=0,IF(V54="","",CONCATENATE("* ",V54,"x")),(V41+V42-V44)/V47)</f>
        <v/>
      </c>
      <c r="W55" s="41" t="str">
        <f>IF(W42=0,IF(W54="","",CONCATENATE("* ",W54,"x")),(W41+W42-W44)/W47)</f>
        <v/>
      </c>
      <c r="X55" s="41" t="str">
        <f>IF(X42=0,IF(X54="","",CONCATENATE("* ",X54,"x")),(X41+X42-X44)/X47)</f>
        <v/>
      </c>
    </row>
    <row r="56" spans="1:24">
      <c r="U56" s="42"/>
    </row>
    <row r="57" spans="1:24" ht="80.25" customHeight="1">
      <c r="A57" s="43" t="s">
        <v>84</v>
      </c>
      <c r="B57" s="44" t="s">
        <v>423</v>
      </c>
      <c r="C57" s="44" t="s">
        <v>423</v>
      </c>
      <c r="D57" s="44" t="s">
        <v>423</v>
      </c>
      <c r="E57" s="44" t="s">
        <v>423</v>
      </c>
      <c r="F57" s="44" t="s">
        <v>423</v>
      </c>
      <c r="G57" s="44" t="s">
        <v>423</v>
      </c>
      <c r="H57" s="44" t="s">
        <v>423</v>
      </c>
      <c r="I57" s="44" t="s">
        <v>423</v>
      </c>
      <c r="J57" s="44" t="s">
        <v>423</v>
      </c>
      <c r="K57" s="44" t="s">
        <v>90</v>
      </c>
      <c r="L57" s="44" t="s">
        <v>316</v>
      </c>
      <c r="M57" s="44" t="s">
        <v>90</v>
      </c>
      <c r="N57" s="44" t="s">
        <v>90</v>
      </c>
      <c r="O57" s="44" t="s">
        <v>90</v>
      </c>
      <c r="P57" s="44"/>
      <c r="Q57" s="44"/>
      <c r="R57" s="44"/>
      <c r="S57" s="44"/>
      <c r="T57" s="44"/>
      <c r="U57" s="44"/>
      <c r="V57" s="44"/>
      <c r="W57" s="44"/>
      <c r="X57" s="44"/>
    </row>
    <row r="58" spans="1:24">
      <c r="A58" s="45"/>
      <c r="B58" s="42"/>
      <c r="C58" s="42"/>
      <c r="D58" s="42"/>
      <c r="E58" s="42"/>
      <c r="F58" s="42"/>
      <c r="G58" s="42"/>
      <c r="H58" s="42"/>
      <c r="I58" s="42"/>
      <c r="J58" s="42"/>
      <c r="K58" s="42"/>
      <c r="L58" s="42"/>
      <c r="M58" s="42"/>
      <c r="N58" s="42"/>
      <c r="O58" s="42"/>
      <c r="P58" s="42"/>
      <c r="Q58" s="42"/>
    </row>
    <row r="59" spans="1:24">
      <c r="A59" s="45"/>
    </row>
  </sheetData>
  <pageMargins left="0.7" right="0.7" top="0.75" bottom="0.75" header="0.3" footer="0.3"/>
  <pageSetup orientation="portrait" r:id="rId1"/>
  <ignoredErrors>
    <ignoredError sqref="M52:U54 U46:U51 M46:T51 J46:J51 K46:L51 K52:L54 H46:I51 H55:L55 H52:J54 F46:G48 D46:E46" formulaRange="1"/>
  </ignoredErrors>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2:X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22" width="10.6640625" style="14" customWidth="1"/>
    <col min="23" max="16384" width="9.109375" style="14"/>
  </cols>
  <sheetData>
    <row r="2" spans="1:22">
      <c r="A2" s="13" t="s">
        <v>44</v>
      </c>
      <c r="B2" s="14" t="s">
        <v>97</v>
      </c>
    </row>
    <row r="3" spans="1:22" s="16" customFormat="1">
      <c r="A3" s="15" t="s">
        <v>45</v>
      </c>
      <c r="B3" s="16" t="s">
        <v>98</v>
      </c>
    </row>
    <row r="4" spans="1:22">
      <c r="A4" s="13" t="s">
        <v>2</v>
      </c>
      <c r="B4" s="14" t="s">
        <v>4</v>
      </c>
    </row>
    <row r="5" spans="1:22">
      <c r="A5" s="13" t="s">
        <v>46</v>
      </c>
    </row>
    <row r="6" spans="1:22">
      <c r="A6" s="13" t="s">
        <v>47</v>
      </c>
      <c r="B6" s="14">
        <v>3</v>
      </c>
    </row>
    <row r="7" spans="1:22">
      <c r="A7" s="13" t="s">
        <v>48</v>
      </c>
      <c r="B7" s="14" t="s">
        <v>243</v>
      </c>
    </row>
    <row r="8" spans="1:22">
      <c r="A8" s="13" t="s">
        <v>347</v>
      </c>
      <c r="B8" s="14" t="s">
        <v>350</v>
      </c>
    </row>
    <row r="9" spans="1:22">
      <c r="A9" s="17"/>
    </row>
    <row r="10" spans="1:22">
      <c r="A10" s="17" t="s">
        <v>49</v>
      </c>
      <c r="B10" s="18">
        <v>44104</v>
      </c>
      <c r="C10" s="18">
        <v>44012</v>
      </c>
      <c r="D10" s="18">
        <v>43921</v>
      </c>
      <c r="E10" s="18">
        <v>43830</v>
      </c>
      <c r="F10" s="18">
        <v>43738</v>
      </c>
      <c r="G10" s="18">
        <v>43646</v>
      </c>
      <c r="H10" s="18">
        <v>43555</v>
      </c>
      <c r="I10" s="18">
        <v>43465</v>
      </c>
      <c r="J10" s="18">
        <v>43372</v>
      </c>
      <c r="K10" s="18">
        <v>43281</v>
      </c>
      <c r="L10" s="18">
        <v>43190</v>
      </c>
      <c r="M10" s="18">
        <v>43099</v>
      </c>
      <c r="N10" s="18">
        <v>43008</v>
      </c>
      <c r="O10" s="18">
        <v>42916</v>
      </c>
      <c r="P10" s="18">
        <v>42825</v>
      </c>
      <c r="Q10" s="18">
        <v>42735</v>
      </c>
      <c r="R10" s="18">
        <v>42643</v>
      </c>
      <c r="S10" s="18">
        <v>42551</v>
      </c>
      <c r="T10" s="18">
        <v>42460</v>
      </c>
      <c r="U10" s="18">
        <v>42369</v>
      </c>
      <c r="V10" s="18">
        <v>42277</v>
      </c>
    </row>
    <row r="12" spans="1:22">
      <c r="A12" s="19" t="s">
        <v>50</v>
      </c>
      <c r="B12" s="20">
        <v>208.21600000000001</v>
      </c>
      <c r="C12" s="20">
        <v>177.41900000000001</v>
      </c>
      <c r="D12" s="20">
        <v>329.39800000000002</v>
      </c>
      <c r="E12" s="20">
        <f>1293.141-F12-G12-H12</f>
        <v>324.90300000000008</v>
      </c>
      <c r="F12" s="20">
        <v>322.44200000000001</v>
      </c>
      <c r="G12" s="20">
        <v>320.89400000000001</v>
      </c>
      <c r="H12" s="20">
        <v>324.90199999999999</v>
      </c>
      <c r="I12" s="20">
        <f>1241.868-J12-K12-L12</f>
        <v>309.31899999999985</v>
      </c>
      <c r="J12" s="20">
        <v>309.92200000000003</v>
      </c>
      <c r="K12" s="20">
        <v>305.99799999999999</v>
      </c>
      <c r="L12" s="20">
        <v>316.62900000000002</v>
      </c>
      <c r="M12" s="20">
        <f>1208.413-P12-O12-N12</f>
        <v>309.02500000000003</v>
      </c>
      <c r="N12" s="20">
        <v>294.291</v>
      </c>
      <c r="O12" s="20">
        <v>302.93</v>
      </c>
      <c r="P12" s="20">
        <v>302.16699999999997</v>
      </c>
      <c r="Q12" s="20">
        <f>1145.989-T12-S12-R12</f>
        <v>285.101</v>
      </c>
      <c r="R12" s="20">
        <v>282.38099999999997</v>
      </c>
      <c r="S12" s="20">
        <v>291.66000000000003</v>
      </c>
      <c r="T12" s="20">
        <v>286.84699999999998</v>
      </c>
      <c r="U12" s="20">
        <f>950.866-W12</f>
        <v>950.86599999999999</v>
      </c>
      <c r="V12" s="20">
        <v>241.27600000000001</v>
      </c>
    </row>
    <row r="13" spans="1:22" s="21" customFormat="1">
      <c r="A13" s="21" t="s">
        <v>51</v>
      </c>
      <c r="B13" s="21">
        <f t="shared" ref="B13:R13" si="0">+B12/F12-1</f>
        <v>-0.35425285787831606</v>
      </c>
      <c r="C13" s="21">
        <f t="shared" si="0"/>
        <v>-0.44711026070914384</v>
      </c>
      <c r="D13" s="21">
        <f t="shared" si="0"/>
        <v>1.3838018848760569E-2</v>
      </c>
      <c r="E13" s="21">
        <f t="shared" si="0"/>
        <v>5.0381644839147421E-2</v>
      </c>
      <c r="F13" s="21">
        <f t="shared" si="0"/>
        <v>4.0397261246378102E-2</v>
      </c>
      <c r="G13" s="21">
        <f t="shared" si="0"/>
        <v>4.8680056732397059E-2</v>
      </c>
      <c r="H13" s="21">
        <f t="shared" si="0"/>
        <v>2.6128371058873112E-2</v>
      </c>
      <c r="I13" s="21">
        <f t="shared" si="0"/>
        <v>9.5137933824074317E-4</v>
      </c>
      <c r="J13" s="21">
        <f t="shared" si="0"/>
        <v>5.3114094552670688E-2</v>
      </c>
      <c r="K13" s="21">
        <f t="shared" si="0"/>
        <v>1.0127752286006597E-2</v>
      </c>
      <c r="L13" s="21">
        <f t="shared" si="0"/>
        <v>4.7860951063484869E-2</v>
      </c>
      <c r="M13" s="21">
        <f t="shared" si="0"/>
        <v>8.3914121662147956E-2</v>
      </c>
      <c r="N13" s="21">
        <f t="shared" si="0"/>
        <v>4.2177058654796262E-2</v>
      </c>
      <c r="O13" s="21">
        <f t="shared" si="0"/>
        <v>3.8640883220187883E-2</v>
      </c>
      <c r="P13" s="21">
        <f t="shared" si="0"/>
        <v>5.3408262941568196E-2</v>
      </c>
      <c r="Q13" s="21">
        <f t="shared" si="0"/>
        <v>-0.70016700565589685</v>
      </c>
      <c r="R13" s="21">
        <f t="shared" si="0"/>
        <v>0.1703650591024386</v>
      </c>
    </row>
    <row r="14" spans="1:22" s="24" customFormat="1">
      <c r="A14" s="22" t="s">
        <v>52</v>
      </c>
      <c r="B14" s="66" t="s">
        <v>3</v>
      </c>
      <c r="C14" s="66" t="s">
        <v>3</v>
      </c>
      <c r="D14" s="66">
        <v>2.9000000000000001E-2</v>
      </c>
      <c r="E14" s="66" t="s">
        <v>3</v>
      </c>
      <c r="F14" s="66">
        <v>3.2000000000000001E-2</v>
      </c>
      <c r="G14" s="66" t="s">
        <v>3</v>
      </c>
      <c r="H14" s="66" t="s">
        <v>3</v>
      </c>
      <c r="I14" s="66" t="s">
        <v>3</v>
      </c>
      <c r="J14" s="66" t="s">
        <v>3</v>
      </c>
      <c r="K14" s="66">
        <v>-2.4E-2</v>
      </c>
      <c r="L14" s="66">
        <v>-8.0000000000000002E-3</v>
      </c>
      <c r="M14" s="66">
        <v>1.6E-2</v>
      </c>
      <c r="N14" s="66">
        <v>-1.9E-2</v>
      </c>
      <c r="O14" s="66">
        <v>-1.8000000000000002E-2</v>
      </c>
      <c r="P14" s="66">
        <v>1.0999999999999999E-2</v>
      </c>
      <c r="Q14" s="66">
        <v>4.7E-2</v>
      </c>
      <c r="R14" s="66" t="s">
        <v>3</v>
      </c>
      <c r="S14" s="22"/>
      <c r="T14" s="22"/>
      <c r="U14" s="22"/>
      <c r="V14" s="22"/>
    </row>
    <row r="16" spans="1:22" s="17" customFormat="1">
      <c r="A16" s="25" t="s">
        <v>53</v>
      </c>
      <c r="B16" s="26">
        <v>-0.9</v>
      </c>
      <c r="C16" s="26">
        <f>-29.095+0.257</f>
        <v>-28.837999999999997</v>
      </c>
      <c r="D16" s="26">
        <f>1.7+0.8</f>
        <v>2.5</v>
      </c>
      <c r="E16" s="26">
        <f>59.741+5.031-F16-G16-I16</f>
        <v>17.388200000000008</v>
      </c>
      <c r="F16" s="26">
        <v>14.257</v>
      </c>
      <c r="G16" s="26">
        <f>13.961+1.172</f>
        <v>15.133000000000001</v>
      </c>
      <c r="H16" s="26">
        <f>20.17+1.181</f>
        <v>21.351000000000003</v>
      </c>
      <c r="I16" s="26">
        <f>76.532+3.291-J16-K16-L16</f>
        <v>17.993799999999997</v>
      </c>
      <c r="J16" s="26">
        <v>26.044</v>
      </c>
      <c r="K16" s="26">
        <f>15.488+0.0862</f>
        <v>15.574199999999999</v>
      </c>
      <c r="L16" s="26">
        <f>18.972+1.239</f>
        <v>20.211000000000002</v>
      </c>
      <c r="M16" s="26">
        <f>68.186+5.409-P16-O16-N16</f>
        <v>16.177000000000014</v>
      </c>
      <c r="N16" s="26">
        <f>13.332+1.391</f>
        <v>14.723000000000001</v>
      </c>
      <c r="O16" s="26">
        <f>18.554+1.397</f>
        <v>19.950999999999997</v>
      </c>
      <c r="P16" s="26">
        <f>21.21+1.534</f>
        <v>22.744</v>
      </c>
      <c r="Q16" s="26">
        <f>95.417+2.847-T16-S16-R16</f>
        <v>23.321999999999992</v>
      </c>
      <c r="R16" s="26">
        <f>20.469+1.37</f>
        <v>21.839000000000002</v>
      </c>
      <c r="S16" s="26">
        <f>22.948+1.646</f>
        <v>24.594000000000001</v>
      </c>
      <c r="T16" s="26">
        <f>27.228+1.281</f>
        <v>28.509</v>
      </c>
      <c r="U16" s="26">
        <f>79.649+4.789-(61.339+3.131)</f>
        <v>19.968000000000004</v>
      </c>
      <c r="V16" s="26">
        <f>24.442+1.236</f>
        <v>25.678000000000001</v>
      </c>
    </row>
    <row r="17" spans="1:24" s="21" customFormat="1">
      <c r="A17" s="21" t="s">
        <v>54</v>
      </c>
      <c r="B17" s="21">
        <f t="shared" ref="B17:O17" si="1">+B16/B12</f>
        <v>-4.3224343950512929E-3</v>
      </c>
      <c r="C17" s="21">
        <f t="shared" si="1"/>
        <v>-0.16254177962901378</v>
      </c>
      <c r="D17" s="21">
        <f t="shared" si="1"/>
        <v>7.5896028512619984E-3</v>
      </c>
      <c r="E17" s="21">
        <f t="shared" si="1"/>
        <v>5.3518126948658533E-2</v>
      </c>
      <c r="F17" s="21">
        <f t="shared" si="1"/>
        <v>4.421570390954032E-2</v>
      </c>
      <c r="G17" s="21">
        <f t="shared" si="1"/>
        <v>4.7158874893266936E-2</v>
      </c>
      <c r="H17" s="21">
        <f t="shared" si="1"/>
        <v>6.5715200275775473E-2</v>
      </c>
      <c r="I17" s="21">
        <f t="shared" si="1"/>
        <v>5.8172307553043964E-2</v>
      </c>
      <c r="J17" s="21">
        <f t="shared" si="1"/>
        <v>8.4034047276411478E-2</v>
      </c>
      <c r="K17" s="21">
        <f t="shared" si="1"/>
        <v>5.0896411087654164E-2</v>
      </c>
      <c r="L17" s="21">
        <f t="shared" si="1"/>
        <v>6.3831803151322211E-2</v>
      </c>
      <c r="M17" s="21">
        <f t="shared" si="1"/>
        <v>5.2348515492274129E-2</v>
      </c>
      <c r="N17" s="21">
        <f t="shared" si="1"/>
        <v>5.0028713076512708E-2</v>
      </c>
      <c r="O17" s="21">
        <f t="shared" si="1"/>
        <v>6.5860099692998372E-2</v>
      </c>
      <c r="P17" s="21">
        <f t="shared" ref="P17:V17" si="2">+P16/P12</f>
        <v>7.5269635665046158E-2</v>
      </c>
      <c r="Q17" s="21">
        <f t="shared" si="2"/>
        <v>8.1802589257841923E-2</v>
      </c>
      <c r="R17" s="21">
        <f t="shared" si="2"/>
        <v>7.7338772792787072E-2</v>
      </c>
      <c r="S17" s="21">
        <f t="shared" si="2"/>
        <v>8.4324213124871428E-2</v>
      </c>
      <c r="T17" s="21">
        <f t="shared" si="2"/>
        <v>9.9387478342112701E-2</v>
      </c>
      <c r="U17" s="21">
        <f t="shared" si="2"/>
        <v>2.0999804388841335E-2</v>
      </c>
      <c r="V17" s="21">
        <f t="shared" si="2"/>
        <v>0.10642583597208176</v>
      </c>
    </row>
    <row r="18" spans="1:24" s="24" customFormat="1"/>
    <row r="19" spans="1:24"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row>
    <row r="20" spans="1:24" s="24" customFormat="1">
      <c r="A20" s="19" t="s">
        <v>56</v>
      </c>
      <c r="B20" s="20">
        <v>0.1</v>
      </c>
      <c r="C20" s="20">
        <v>0.30299999999999999</v>
      </c>
      <c r="D20" s="20">
        <v>0.7</v>
      </c>
      <c r="E20" s="20">
        <f>1.089-F20-G20-H20</f>
        <v>0.40799999999999992</v>
      </c>
      <c r="F20" s="20">
        <v>0.187</v>
      </c>
      <c r="G20" s="20">
        <v>0.23499999999999999</v>
      </c>
      <c r="H20" s="20">
        <v>0.25900000000000001</v>
      </c>
      <c r="I20" s="20">
        <f>2.924-J20-K20-L20</f>
        <v>0.33799999999999975</v>
      </c>
      <c r="J20" s="20">
        <v>0.35399999999999998</v>
      </c>
      <c r="K20" s="20">
        <v>1.62</v>
      </c>
      <c r="L20" s="20">
        <v>0.61199999999999999</v>
      </c>
      <c r="M20" s="20">
        <f>5.636-P20-O20-N20</f>
        <v>1.1609999999999996</v>
      </c>
      <c r="N20" s="20">
        <v>1.419</v>
      </c>
      <c r="O20" s="20">
        <v>1.7250000000000001</v>
      </c>
      <c r="P20" s="20">
        <v>1.331</v>
      </c>
      <c r="Q20" s="20">
        <f>17.163-T20-S20-R20</f>
        <v>10.219000000000001</v>
      </c>
      <c r="R20" s="20">
        <f>3.333</f>
        <v>3.3330000000000002</v>
      </c>
      <c r="S20" s="20">
        <v>1.6319999999999999</v>
      </c>
      <c r="T20" s="20">
        <v>1.9790000000000001</v>
      </c>
      <c r="U20" s="20">
        <f>7.84-6.891</f>
        <v>0.94899999999999984</v>
      </c>
      <c r="V20" s="20">
        <v>1.7270000000000001</v>
      </c>
    </row>
    <row r="21" spans="1:24" s="24" customFormat="1">
      <c r="A21" s="19" t="s">
        <v>57</v>
      </c>
      <c r="B21" s="20">
        <f t="shared" ref="B21:V21" si="3">B22-B16-B19-B20</f>
        <v>6.2000000000000011</v>
      </c>
      <c r="C21" s="20">
        <f t="shared" si="3"/>
        <v>19.942999999999994</v>
      </c>
      <c r="D21" s="20">
        <f t="shared" si="3"/>
        <v>18.900000000000002</v>
      </c>
      <c r="E21" s="20">
        <f t="shared" si="3"/>
        <v>3.0327999999999924</v>
      </c>
      <c r="F21" s="20">
        <f t="shared" si="3"/>
        <v>12.443000000000001</v>
      </c>
      <c r="G21" s="20">
        <f t="shared" si="3"/>
        <v>4.3329999999999993</v>
      </c>
      <c r="H21" s="20">
        <f t="shared" si="3"/>
        <v>3.2469999999999968</v>
      </c>
      <c r="I21" s="20">
        <f t="shared" si="3"/>
        <v>2.7342000000000133</v>
      </c>
      <c r="J21" s="20">
        <f t="shared" si="3"/>
        <v>4.0279999999999978</v>
      </c>
      <c r="K21" s="20">
        <f t="shared" si="3"/>
        <v>7.349800000000001</v>
      </c>
      <c r="L21" s="20">
        <f t="shared" si="3"/>
        <v>7.0769999999999964</v>
      </c>
      <c r="M21" s="20">
        <f t="shared" si="3"/>
        <v>8.0759999999999916</v>
      </c>
      <c r="N21" s="20">
        <f t="shared" si="3"/>
        <v>10.203999999999999</v>
      </c>
      <c r="O21" s="20">
        <f t="shared" si="3"/>
        <v>10.542000000000007</v>
      </c>
      <c r="P21" s="20">
        <f t="shared" si="3"/>
        <v>6.4439999999999991</v>
      </c>
      <c r="Q21" s="20">
        <f t="shared" si="3"/>
        <v>-1.9610000000000056</v>
      </c>
      <c r="R21" s="20">
        <f t="shared" si="3"/>
        <v>4.1899999999999959</v>
      </c>
      <c r="S21" s="20">
        <f t="shared" si="3"/>
        <v>6.3890000000000011</v>
      </c>
      <c r="T21" s="20">
        <f t="shared" si="3"/>
        <v>2.8289999999999997</v>
      </c>
      <c r="U21" s="20">
        <f t="shared" si="3"/>
        <v>4.0299999999999994</v>
      </c>
      <c r="V21" s="20">
        <f t="shared" si="3"/>
        <v>3.4939999999999998</v>
      </c>
    </row>
    <row r="22" spans="1:24" s="17" customFormat="1">
      <c r="A22" s="17" t="s">
        <v>58</v>
      </c>
      <c r="B22" s="27">
        <v>5.4</v>
      </c>
      <c r="C22" s="27">
        <v>-8.5920000000000005</v>
      </c>
      <c r="D22" s="27">
        <v>22.1</v>
      </c>
      <c r="E22" s="27">
        <f>92.274-F22-G22-H22</f>
        <v>20.829000000000001</v>
      </c>
      <c r="F22" s="27">
        <v>26.887</v>
      </c>
      <c r="G22" s="27">
        <v>19.701000000000001</v>
      </c>
      <c r="H22" s="27">
        <v>24.856999999999999</v>
      </c>
      <c r="I22" s="27">
        <f>103.936-J22-K22-L22</f>
        <v>21.06600000000001</v>
      </c>
      <c r="J22" s="27">
        <v>30.425999999999998</v>
      </c>
      <c r="K22" s="27">
        <v>24.544</v>
      </c>
      <c r="L22" s="27">
        <v>27.9</v>
      </c>
      <c r="M22" s="27">
        <f>114.497-P22-O22-N22</f>
        <v>25.414000000000005</v>
      </c>
      <c r="N22" s="27">
        <v>26.346</v>
      </c>
      <c r="O22" s="27">
        <v>32.218000000000004</v>
      </c>
      <c r="P22" s="27">
        <v>30.518999999999998</v>
      </c>
      <c r="Q22" s="27">
        <f>126.874-T22-S22-R22</f>
        <v>31.579999999999988</v>
      </c>
      <c r="R22" s="27">
        <v>29.361999999999998</v>
      </c>
      <c r="S22" s="27">
        <v>32.615000000000002</v>
      </c>
      <c r="T22" s="27">
        <v>33.317</v>
      </c>
      <c r="U22" s="27">
        <f>107.671-82.724</f>
        <v>24.947000000000003</v>
      </c>
      <c r="V22" s="27">
        <v>30.899000000000001</v>
      </c>
    </row>
    <row r="23" spans="1:24" s="17" customFormat="1">
      <c r="B23" s="21"/>
      <c r="C23" s="21"/>
      <c r="D23" s="21"/>
      <c r="E23" s="21"/>
      <c r="F23" s="21"/>
      <c r="G23" s="21"/>
      <c r="H23" s="21"/>
      <c r="I23" s="21"/>
      <c r="J23" s="21"/>
      <c r="K23" s="27"/>
      <c r="L23" s="27"/>
      <c r="M23" s="27"/>
      <c r="N23" s="27"/>
      <c r="O23" s="27"/>
      <c r="P23" s="27"/>
      <c r="Q23" s="27"/>
      <c r="R23" s="27"/>
      <c r="S23" s="27"/>
      <c r="T23" s="27"/>
      <c r="U23" s="27"/>
      <c r="V23" s="27"/>
    </row>
    <row r="24" spans="1:24" s="17" customFormat="1">
      <c r="A24" s="17" t="s">
        <v>59</v>
      </c>
      <c r="B24" s="27">
        <f t="shared" ref="B24:S24" si="4">SUM(B22:E22)</f>
        <v>39.737000000000002</v>
      </c>
      <c r="C24" s="27">
        <f t="shared" si="4"/>
        <v>61.224000000000004</v>
      </c>
      <c r="D24" s="27">
        <f t="shared" si="4"/>
        <v>89.516999999999996</v>
      </c>
      <c r="E24" s="27">
        <f t="shared" si="4"/>
        <v>92.274000000000001</v>
      </c>
      <c r="F24" s="27">
        <f t="shared" si="4"/>
        <v>92.510999999999996</v>
      </c>
      <c r="G24" s="27">
        <f t="shared" si="4"/>
        <v>96.050000000000011</v>
      </c>
      <c r="H24" s="27">
        <f t="shared" si="4"/>
        <v>100.893</v>
      </c>
      <c r="I24" s="27">
        <f t="shared" si="4"/>
        <v>103.93600000000001</v>
      </c>
      <c r="J24" s="27">
        <f t="shared" si="4"/>
        <v>108.28400000000001</v>
      </c>
      <c r="K24" s="27">
        <f t="shared" si="4"/>
        <v>104.20400000000001</v>
      </c>
      <c r="L24" s="27">
        <f t="shared" si="4"/>
        <v>111.87800000000001</v>
      </c>
      <c r="M24" s="27">
        <f t="shared" si="4"/>
        <v>114.49700000000001</v>
      </c>
      <c r="N24" s="27">
        <f t="shared" si="4"/>
        <v>120.66299999999998</v>
      </c>
      <c r="O24" s="27">
        <f t="shared" si="4"/>
        <v>123.67899999999999</v>
      </c>
      <c r="P24" s="27">
        <f t="shared" si="4"/>
        <v>124.07599999999999</v>
      </c>
      <c r="Q24" s="27">
        <f t="shared" si="4"/>
        <v>126.874</v>
      </c>
      <c r="R24" s="27">
        <f t="shared" si="4"/>
        <v>120.24100000000001</v>
      </c>
      <c r="S24" s="27">
        <f t="shared" si="4"/>
        <v>121.77800000000001</v>
      </c>
      <c r="T24" s="27"/>
      <c r="U24" s="27"/>
      <c r="V24" s="27"/>
    </row>
    <row r="25" spans="1:24" s="24" customFormat="1">
      <c r="A25" s="19" t="s">
        <v>60</v>
      </c>
      <c r="B25" s="28">
        <f>153.6-B24</f>
        <v>113.863</v>
      </c>
      <c r="C25" s="28">
        <f>140.048-C24</f>
        <v>78.823999999999998</v>
      </c>
      <c r="D25" s="28">
        <f>134.151-D24</f>
        <v>44.634000000000015</v>
      </c>
      <c r="E25" s="28">
        <f>140.724-E24</f>
        <v>48.449999999999989</v>
      </c>
      <c r="F25" s="28">
        <f>96.544-F24</f>
        <v>4.0330000000000013</v>
      </c>
      <c r="G25" s="28">
        <f>101.605-G24</f>
        <v>5.5549999999999926</v>
      </c>
      <c r="H25" s="28">
        <f>106.302-H26-H24</f>
        <v>5.3810000000000002</v>
      </c>
      <c r="I25" s="28">
        <f>7.504+0.03+0.003-0.551+0.996+2.204</f>
        <v>10.186</v>
      </c>
      <c r="J25" s="28">
        <f>8.254+0.134+0.02-0.264+1.523+4.117</f>
        <v>13.783999999999999</v>
      </c>
      <c r="K25" s="28">
        <f>8.734+0.291+0.048+0.057+2.399+6.03</f>
        <v>17.559000000000001</v>
      </c>
      <c r="L25" s="28">
        <f>7.696+1.061+0.619+0.111+0.325+2.956</f>
        <v>12.767999999999999</v>
      </c>
      <c r="M25" s="28">
        <f>7.229+3.438+0.843+0.173+0.817</f>
        <v>12.5</v>
      </c>
      <c r="N25" s="28">
        <f>7.599+4.586+1.557+0.277</f>
        <v>14.019</v>
      </c>
      <c r="O25" s="28">
        <f>8.56+3.306+1.79+0.285</f>
        <v>13.940999999999999</v>
      </c>
      <c r="P25" s="28">
        <f>9.4+1.663+0.251</f>
        <v>11.314</v>
      </c>
      <c r="Q25" s="28">
        <f>9.746+1.292+0.174</f>
        <v>11.212</v>
      </c>
      <c r="R25" s="28">
        <f>7.902+0.86+0.131</f>
        <v>8.8930000000000007</v>
      </c>
      <c r="S25" s="28">
        <f>5.286+1.543+0.119</f>
        <v>6.9479999999999995</v>
      </c>
      <c r="T25" s="28"/>
      <c r="U25" s="28"/>
      <c r="V25" s="28"/>
    </row>
    <row r="26" spans="1:24" s="24" customFormat="1">
      <c r="A26" s="19" t="s">
        <v>61</v>
      </c>
      <c r="B26" s="29">
        <v>2.8000000000000001E-2</v>
      </c>
      <c r="C26" s="29">
        <v>2.8000000000000001E-2</v>
      </c>
      <c r="D26" s="29">
        <v>2.8000000000000001E-2</v>
      </c>
      <c r="E26" s="29">
        <v>2.8000000000000001E-2</v>
      </c>
      <c r="F26" s="29">
        <v>2.8000000000000001E-2</v>
      </c>
      <c r="G26" s="29">
        <v>2.8000000000000001E-2</v>
      </c>
      <c r="H26" s="29">
        <v>2.8000000000000001E-2</v>
      </c>
      <c r="I26" s="29">
        <v>2.8000000000000001E-2</v>
      </c>
      <c r="J26" s="29">
        <v>0.2</v>
      </c>
      <c r="K26" s="29">
        <v>0.44500000000000001</v>
      </c>
      <c r="L26" s="29">
        <v>0.91500000000000004</v>
      </c>
      <c r="M26" s="29">
        <v>1.2190000000000001</v>
      </c>
      <c r="N26" s="29">
        <v>2.339</v>
      </c>
      <c r="O26" s="29">
        <v>2.7919999999999998</v>
      </c>
      <c r="P26" s="29">
        <v>3.3959999999999999</v>
      </c>
      <c r="Q26" s="29">
        <v>2.9380000000000002</v>
      </c>
      <c r="R26" s="29">
        <v>4.2649999999999997</v>
      </c>
      <c r="S26" s="29">
        <v>7.7030000000000003</v>
      </c>
      <c r="T26" s="30"/>
      <c r="U26" s="30"/>
      <c r="V26" s="30"/>
    </row>
    <row r="27" spans="1:24" s="32" customFormat="1">
      <c r="A27" s="17" t="s">
        <v>62</v>
      </c>
      <c r="B27" s="27">
        <f t="shared" ref="B27:C27" si="5">SUM(B24:B26)</f>
        <v>153.62799999999999</v>
      </c>
      <c r="C27" s="27">
        <f t="shared" si="5"/>
        <v>140.07599999999999</v>
      </c>
      <c r="D27" s="27">
        <f t="shared" ref="D27:E27" si="6">SUM(D24:D26)</f>
        <v>134.179</v>
      </c>
      <c r="E27" s="27">
        <f t="shared" si="6"/>
        <v>140.75199999999998</v>
      </c>
      <c r="F27" s="27">
        <f t="shared" ref="F27:S27" si="7">SUM(F24:F26)</f>
        <v>96.572000000000003</v>
      </c>
      <c r="G27" s="27">
        <f t="shared" si="7"/>
        <v>101.63300000000001</v>
      </c>
      <c r="H27" s="27">
        <f t="shared" si="7"/>
        <v>106.30200000000001</v>
      </c>
      <c r="I27" s="27">
        <f t="shared" si="7"/>
        <v>114.15000000000002</v>
      </c>
      <c r="J27" s="27">
        <f t="shared" si="7"/>
        <v>122.26800000000001</v>
      </c>
      <c r="K27" s="27">
        <f t="shared" si="7"/>
        <v>122.208</v>
      </c>
      <c r="L27" s="27">
        <f t="shared" si="7"/>
        <v>125.56100000000002</v>
      </c>
      <c r="M27" s="27">
        <f t="shared" si="7"/>
        <v>128.21600000000001</v>
      </c>
      <c r="N27" s="27">
        <f t="shared" si="7"/>
        <v>137.02099999999999</v>
      </c>
      <c r="O27" s="27">
        <f t="shared" si="7"/>
        <v>140.41199999999998</v>
      </c>
      <c r="P27" s="27">
        <f t="shared" si="7"/>
        <v>138.78599999999997</v>
      </c>
      <c r="Q27" s="27">
        <f t="shared" si="7"/>
        <v>141.02399999999997</v>
      </c>
      <c r="R27" s="27">
        <f t="shared" si="7"/>
        <v>133.399</v>
      </c>
      <c r="S27" s="27">
        <f t="shared" si="7"/>
        <v>136.429</v>
      </c>
      <c r="T27" s="31"/>
      <c r="U27" s="31"/>
      <c r="V27" s="31"/>
    </row>
    <row r="28" spans="1:24" s="24" customFormat="1"/>
    <row r="29" spans="1:24" s="17" customFormat="1">
      <c r="A29" s="17" t="s">
        <v>58</v>
      </c>
      <c r="B29" s="27">
        <f t="shared" ref="B29:D29" si="8">B22</f>
        <v>5.4</v>
      </c>
      <c r="C29" s="27">
        <f t="shared" si="8"/>
        <v>-8.5920000000000005</v>
      </c>
      <c r="D29" s="27">
        <f t="shared" si="8"/>
        <v>22.1</v>
      </c>
      <c r="E29" s="27">
        <f t="shared" ref="E29:V29" si="9">E22</f>
        <v>20.829000000000001</v>
      </c>
      <c r="F29" s="27">
        <f t="shared" si="9"/>
        <v>26.887</v>
      </c>
      <c r="G29" s="27">
        <f t="shared" si="9"/>
        <v>19.701000000000001</v>
      </c>
      <c r="H29" s="27">
        <f t="shared" si="9"/>
        <v>24.856999999999999</v>
      </c>
      <c r="I29" s="27">
        <f t="shared" si="9"/>
        <v>21.06600000000001</v>
      </c>
      <c r="J29" s="27">
        <f t="shared" si="9"/>
        <v>30.425999999999998</v>
      </c>
      <c r="K29" s="27">
        <f t="shared" si="9"/>
        <v>24.544</v>
      </c>
      <c r="L29" s="27">
        <f t="shared" si="9"/>
        <v>27.9</v>
      </c>
      <c r="M29" s="27">
        <f t="shared" si="9"/>
        <v>25.414000000000005</v>
      </c>
      <c r="N29" s="27">
        <f t="shared" si="9"/>
        <v>26.346</v>
      </c>
      <c r="O29" s="27">
        <f t="shared" si="9"/>
        <v>32.218000000000004</v>
      </c>
      <c r="P29" s="27">
        <f t="shared" si="9"/>
        <v>30.518999999999998</v>
      </c>
      <c r="Q29" s="27">
        <f t="shared" si="9"/>
        <v>31.579999999999988</v>
      </c>
      <c r="R29" s="27">
        <f t="shared" si="9"/>
        <v>29.361999999999998</v>
      </c>
      <c r="S29" s="27">
        <f t="shared" si="9"/>
        <v>32.615000000000002</v>
      </c>
      <c r="T29" s="27">
        <f t="shared" si="9"/>
        <v>33.317</v>
      </c>
      <c r="U29" s="27">
        <f t="shared" si="9"/>
        <v>24.947000000000003</v>
      </c>
      <c r="V29" s="27">
        <f t="shared" si="9"/>
        <v>30.899000000000001</v>
      </c>
      <c r="X29" s="75"/>
    </row>
    <row r="30" spans="1:24" s="33" customFormat="1">
      <c r="A30" s="20" t="s">
        <v>63</v>
      </c>
      <c r="B30" s="20">
        <f>-55.416+4.093-C30-D30</f>
        <v>-17.104999999999997</v>
      </c>
      <c r="C30" s="20">
        <f>-36.916+2.698-D30</f>
        <v>-17.595999999999997</v>
      </c>
      <c r="D30" s="20">
        <f>-17.964+1.342</f>
        <v>-16.622</v>
      </c>
      <c r="E30" s="20">
        <f>-63.101-F30-G30-H30</f>
        <v>-13.327999999999996</v>
      </c>
      <c r="F30" s="20">
        <f>-53.709+3.936-G30-H30</f>
        <v>-16.616999999999997</v>
      </c>
      <c r="G30" s="20">
        <f>-35.77+2.614-H30</f>
        <v>-16.604000000000006</v>
      </c>
      <c r="H30" s="20">
        <f>-17.854+1.302</f>
        <v>-16.552</v>
      </c>
      <c r="I30" s="20">
        <f>-59.567-J30-K30-L30</f>
        <v>-10.952999999999998</v>
      </c>
      <c r="J30" s="20">
        <f>-52.645+4.031-K30-L30</f>
        <v>-16.568000000000005</v>
      </c>
      <c r="K30" s="20">
        <f>-34.741+2.695-L30</f>
        <v>-16.400999999999996</v>
      </c>
      <c r="L30" s="20">
        <f>-16.989+1.344</f>
        <v>-15.645000000000001</v>
      </c>
      <c r="M30" s="20">
        <f>-58.935-P30-O30-N30</f>
        <v>-12.738</v>
      </c>
      <c r="N30" s="20">
        <f>-50.302+4.105-P30-O30</f>
        <v>-14.867000000000001</v>
      </c>
      <c r="O30" s="20">
        <f>-34.109+2.779-P30</f>
        <v>-14.479000000000003</v>
      </c>
      <c r="P30" s="20">
        <f>-17.854+1.003</f>
        <v>-16.850999999999999</v>
      </c>
      <c r="Q30" s="20">
        <f>-52.555-T30-S30-R30</f>
        <v>-10.083000000000004</v>
      </c>
      <c r="R30" s="20">
        <f>-44.864+2.392-T30-S30</f>
        <v>-15.807999999999995</v>
      </c>
      <c r="S30" s="20">
        <f>-29.034+2.37-T30</f>
        <v>-12.935999999999998</v>
      </c>
      <c r="T30" s="20">
        <f>-14.478+0.75</f>
        <v>-13.728</v>
      </c>
      <c r="U30" s="20">
        <f>-44.599-(-37.112+2.248)</f>
        <v>-9.7349999999999923</v>
      </c>
      <c r="V30" s="20">
        <f>-37.112+2.248-(-24.929+1.527)</f>
        <v>-11.462000000000007</v>
      </c>
    </row>
    <row r="31" spans="1:24" s="33" customFormat="1">
      <c r="A31" s="20" t="s">
        <v>64</v>
      </c>
      <c r="B31" s="20">
        <f>-0.696-C31-D31</f>
        <v>-0.23399999999999996</v>
      </c>
      <c r="C31" s="20">
        <f>-0.462-D31</f>
        <v>-0.23100000000000001</v>
      </c>
      <c r="D31" s="20">
        <v>-0.23100000000000001</v>
      </c>
      <c r="E31" s="20">
        <f>-0.902-F31-G31-H31</f>
        <v>-0.33000000000000007</v>
      </c>
      <c r="F31" s="20">
        <f>-0.572-G31-H31</f>
        <v>-7.1999999999999953E-2</v>
      </c>
      <c r="G31" s="20">
        <f>-0.5-H31</f>
        <v>-0.25</v>
      </c>
      <c r="H31" s="20">
        <v>-0.25</v>
      </c>
      <c r="I31" s="20">
        <f>-1.428-J31-K31-L31</f>
        <v>-0.77900000000000014</v>
      </c>
      <c r="J31" s="20">
        <f>-0.649-K31-L31</f>
        <v>-7.3000000000000065E-2</v>
      </c>
      <c r="K31" s="20">
        <f>-0.605+0.029-L31</f>
        <v>-0.26099999999999995</v>
      </c>
      <c r="L31" s="20">
        <f>-0.341+0.026</f>
        <v>-0.315</v>
      </c>
      <c r="M31" s="20">
        <f>-4.165-P31-O31-N31</f>
        <v>-3.2309999999999999</v>
      </c>
      <c r="N31" s="20">
        <f>-0.942+0.008-P31-O31</f>
        <v>-0.27299999999999991</v>
      </c>
      <c r="O31" s="20">
        <f>-0.669+0.008-P31</f>
        <v>-0.76200000000000001</v>
      </c>
      <c r="P31" s="20">
        <f>0.082+0.019</f>
        <v>0.10100000000000001</v>
      </c>
      <c r="Q31" s="20">
        <f>-3.93-T31-S31-R31</f>
        <v>-3.5989999999999998</v>
      </c>
      <c r="R31" s="20">
        <f>-0.274-0.057-T31-S31</f>
        <v>0.13099999999999995</v>
      </c>
      <c r="S31" s="20">
        <f>-0.415-0.047-T31</f>
        <v>-0.22399999999999998</v>
      </c>
      <c r="T31" s="20">
        <f>-0.218-0.02</f>
        <v>-0.23799999999999999</v>
      </c>
      <c r="U31" s="20">
        <f>-10.994-(2.068-2.077)</f>
        <v>-10.984999999999999</v>
      </c>
      <c r="V31" s="20">
        <f>2.068-2.077-(-0.377-0.057)</f>
        <v>0.4250000000000001</v>
      </c>
    </row>
    <row r="32" spans="1:24" s="33" customFormat="1">
      <c r="A32" s="20" t="s">
        <v>65</v>
      </c>
      <c r="B32" s="20">
        <f>4.791-5.194+6.584-0.885-1.834-22.534-15.488+12.368-C32-D32</f>
        <v>-3.2989999999999995</v>
      </c>
      <c r="C32" s="20">
        <f>11.946-1.912+7.559-0.896-1.185-24.237-7.028-3.14-D32</f>
        <v>-1.9760000000000026</v>
      </c>
      <c r="D32" s="20">
        <f>-9.086-0.62+4.974+0.77-0.877-10.023-6.253+4.198</f>
        <v>-16.916999999999998</v>
      </c>
      <c r="E32" s="20">
        <f>-9.864+2.829-0.986+3.924-4.254+3.206+47.346-F32-G32-H32</f>
        <v>-0.70700000000000074</v>
      </c>
      <c r="F32" s="20">
        <f>-10.324+1.545+2.549+1.511-1.982-7.882+57.491-G32-H32</f>
        <v>10.942</v>
      </c>
      <c r="G32" s="20">
        <f>-7.714+1.071+2.65-0.758-1.183-0.311+38.211-H32</f>
        <v>-10.676000000000005</v>
      </c>
      <c r="H32" s="20">
        <v>42.642000000000003</v>
      </c>
      <c r="I32" s="20">
        <f>0.743+2.209-0.602-0.878+0.227+8.93+74.872-J32-K32-L32</f>
        <v>24.933000000000007</v>
      </c>
      <c r="J32" s="20">
        <f>+(-2.954+4.185+2.58-1.443+0.2+10.32+47.68)-K32-L32</f>
        <v>47.183</v>
      </c>
      <c r="K32" s="20">
        <f>-2.539+4.187+2.561-2.184-0.088+13.529-2.081-L32</f>
        <v>-4.895999999999999</v>
      </c>
      <c r="L32" s="20">
        <f>0.145+2.095+3.734-2.074+0.013+10.644+3.724</f>
        <v>18.280999999999999</v>
      </c>
      <c r="M32" s="20">
        <f>-3.545-2.467+0.045-0.316-0.798-5.397+7.431-P32-O32-N32</f>
        <v>-15.439</v>
      </c>
      <c r="N32" s="20">
        <f>-4.612+0.166+1.339-1.643-0.458+0.496+15.104-P32-O32</f>
        <v>8.8099999999999987</v>
      </c>
      <c r="O32" s="20">
        <f>-3.024+1.164+3.426-2.563-0.43-0.878+3.887-P32</f>
        <v>-8.0790000000000006</v>
      </c>
      <c r="P32" s="20">
        <f>-0.154+0.159+2.946-1.942-0.43+1.169+7.913</f>
        <v>9.6610000000000014</v>
      </c>
      <c r="Q32" s="20">
        <f>-8.099-1.524-1.062-0.126-0.494+8.584+4.234-T32-S32-R32</f>
        <v>-9.984</v>
      </c>
      <c r="R32" s="20">
        <f>-9.579+0.675+0.216-0.21-0.421+3.02+17.796-T32-S32</f>
        <v>12.598000000000001</v>
      </c>
      <c r="S32" s="20">
        <f>-9.442+0.533-0.366+0.203-0.263-0.394+8.628-T32</f>
        <v>6.905999999999997</v>
      </c>
      <c r="T32" s="20">
        <f>-7.499-0.525+1.716-0.069-0.125+2.137-3.642</f>
        <v>-8.0069999999999979</v>
      </c>
      <c r="U32" s="20">
        <f>-2.652+8.892-2.509-0.537+3.092-6.91-3.47-(-4.41+10.263-1.811-1.354+3.566-9.592-13.444)</f>
        <v>12.688000000000002</v>
      </c>
      <c r="V32" s="20">
        <f>-4.41+10.263-1.811-1.354+3.566-9.592-13.444-W32</f>
        <v>-16.782000000000004</v>
      </c>
    </row>
    <row r="33" spans="1:22" s="33" customFormat="1">
      <c r="A33" s="20" t="s">
        <v>66</v>
      </c>
      <c r="B33" s="20">
        <f t="shared" ref="B33:D33" si="10">-B19-B20-B21</f>
        <v>-6.3000000000000007</v>
      </c>
      <c r="C33" s="20">
        <f t="shared" si="10"/>
        <v>-20.245999999999995</v>
      </c>
      <c r="D33" s="20">
        <f t="shared" si="10"/>
        <v>-19.600000000000001</v>
      </c>
      <c r="E33" s="20">
        <f t="shared" ref="E33:V33" si="11">-E19-E20-E21</f>
        <v>-3.4407999999999923</v>
      </c>
      <c r="F33" s="20">
        <f t="shared" si="11"/>
        <v>-12.63</v>
      </c>
      <c r="G33" s="20">
        <f t="shared" si="11"/>
        <v>-4.5679999999999996</v>
      </c>
      <c r="H33" s="20">
        <f t="shared" si="11"/>
        <v>-3.5059999999999967</v>
      </c>
      <c r="I33" s="20">
        <f t="shared" si="11"/>
        <v>-3.0722000000000129</v>
      </c>
      <c r="J33" s="20">
        <f t="shared" si="11"/>
        <v>-4.3819999999999979</v>
      </c>
      <c r="K33" s="20">
        <f t="shared" si="11"/>
        <v>-8.9698000000000011</v>
      </c>
      <c r="L33" s="20">
        <f t="shared" si="11"/>
        <v>-7.6889999999999965</v>
      </c>
      <c r="M33" s="20">
        <f t="shared" si="11"/>
        <v>-9.2369999999999912</v>
      </c>
      <c r="N33" s="20">
        <f t="shared" si="11"/>
        <v>-11.622999999999999</v>
      </c>
      <c r="O33" s="20">
        <f t="shared" si="11"/>
        <v>-12.267000000000007</v>
      </c>
      <c r="P33" s="20">
        <f t="shared" si="11"/>
        <v>-7.7749999999999986</v>
      </c>
      <c r="Q33" s="20">
        <f t="shared" si="11"/>
        <v>-8.2579999999999956</v>
      </c>
      <c r="R33" s="20">
        <f t="shared" si="11"/>
        <v>-7.5229999999999961</v>
      </c>
      <c r="S33" s="20">
        <f t="shared" si="11"/>
        <v>-8.0210000000000008</v>
      </c>
      <c r="T33" s="20">
        <f t="shared" si="11"/>
        <v>-4.8079999999999998</v>
      </c>
      <c r="U33" s="20">
        <f t="shared" si="11"/>
        <v>-4.9789999999999992</v>
      </c>
      <c r="V33" s="20">
        <f t="shared" si="11"/>
        <v>-5.2210000000000001</v>
      </c>
    </row>
    <row r="34" spans="1:22" s="33" customFormat="1">
      <c r="A34" s="20" t="s">
        <v>57</v>
      </c>
      <c r="B34" s="29">
        <f t="shared" ref="B34:D34" si="12">B35-SUM(B29:B33)</f>
        <v>9.4520000000000017</v>
      </c>
      <c r="C34" s="29">
        <f t="shared" si="12"/>
        <v>4.0739999999999839</v>
      </c>
      <c r="D34" s="29">
        <f t="shared" si="12"/>
        <v>6.0059999999999967</v>
      </c>
      <c r="E34" s="29">
        <f t="shared" ref="E34:O34" si="13">E35-SUM(E29:E33)</f>
        <v>-11.144200000000007</v>
      </c>
      <c r="F34" s="29">
        <f t="shared" si="13"/>
        <v>1.4679999999999982</v>
      </c>
      <c r="G34" s="29">
        <f t="shared" si="13"/>
        <v>0.24000000000000732</v>
      </c>
      <c r="H34" s="29">
        <f t="shared" si="13"/>
        <v>7.3999999999998067E-2</v>
      </c>
      <c r="I34" s="29">
        <f t="shared" si="13"/>
        <v>-5.5997999999999983</v>
      </c>
      <c r="J34" s="29">
        <f t="shared" si="13"/>
        <v>1.0100000000000051</v>
      </c>
      <c r="K34" s="29">
        <f t="shared" si="13"/>
        <v>1.8477999999999968</v>
      </c>
      <c r="L34" s="29">
        <f t="shared" si="13"/>
        <v>1.0199999999999996</v>
      </c>
      <c r="M34" s="29">
        <f t="shared" si="13"/>
        <v>2.5769999999999857</v>
      </c>
      <c r="N34" s="29">
        <f t="shared" si="13"/>
        <v>0.94200000000000017</v>
      </c>
      <c r="O34" s="29">
        <f t="shared" si="13"/>
        <v>0.73400000000000709</v>
      </c>
      <c r="P34" s="29">
        <f t="shared" ref="P34:V34" si="14">P35-SUM(P29:P33)</f>
        <v>1.3189999999999991</v>
      </c>
      <c r="Q34" s="29">
        <f t="shared" si="14"/>
        <v>-1.6469999999999896</v>
      </c>
      <c r="R34" s="29">
        <f t="shared" si="14"/>
        <v>2.0119999999999898</v>
      </c>
      <c r="S34" s="29">
        <f t="shared" si="14"/>
        <v>0.41300000000000381</v>
      </c>
      <c r="T34" s="29">
        <f t="shared" si="14"/>
        <v>1.5459999999999994</v>
      </c>
      <c r="U34" s="29">
        <f t="shared" si="14"/>
        <v>8.515999999999984</v>
      </c>
      <c r="V34" s="29">
        <f t="shared" si="14"/>
        <v>2.681000000000008</v>
      </c>
    </row>
    <row r="35" spans="1:22" s="27" customFormat="1">
      <c r="A35" s="27" t="s">
        <v>67</v>
      </c>
      <c r="B35" s="27">
        <f>-81.917-C35-D35</f>
        <v>-12.085999999999995</v>
      </c>
      <c r="C35" s="27">
        <f>-69.831-D35</f>
        <v>-44.567000000000007</v>
      </c>
      <c r="D35" s="27">
        <v>-25.263999999999999</v>
      </c>
      <c r="E35" s="27">
        <f>36.965-F35-G35-H35</f>
        <v>-8.1209999999999951</v>
      </c>
      <c r="F35" s="27">
        <f>45.086-G35-H35</f>
        <v>9.9780000000000015</v>
      </c>
      <c r="G35" s="27">
        <f>35.108-H35</f>
        <v>-12.157000000000004</v>
      </c>
      <c r="H35" s="27">
        <v>47.265000000000001</v>
      </c>
      <c r="I35" s="27">
        <f>102.607-J35-K35-L35</f>
        <v>25.595000000000006</v>
      </c>
      <c r="J35" s="27">
        <f>77.012-K35-L35</f>
        <v>57.595999999999997</v>
      </c>
      <c r="K35" s="27">
        <f>19.416-L35</f>
        <v>-4.1359999999999992</v>
      </c>
      <c r="L35" s="27">
        <v>23.552</v>
      </c>
      <c r="M35" s="27">
        <f>11.02-P35-O35-N35</f>
        <v>-12.654</v>
      </c>
      <c r="N35" s="27">
        <f>23.674-P35-O35</f>
        <v>9.3349999999999991</v>
      </c>
      <c r="O35" s="27">
        <f>14.339-P35</f>
        <v>-2.6349999999999998</v>
      </c>
      <c r="P35" s="27">
        <v>16.974</v>
      </c>
      <c r="Q35" s="27">
        <f>45.616-T35-S35-R35</f>
        <v>-1.9909999999999997</v>
      </c>
      <c r="R35" s="27">
        <f>47.607-T35-S35</f>
        <v>20.771999999999998</v>
      </c>
      <c r="S35" s="27">
        <f>26.835-T35</f>
        <v>18.753</v>
      </c>
      <c r="T35" s="27">
        <v>8.0820000000000007</v>
      </c>
      <c r="U35" s="27">
        <f>36.745-16.293</f>
        <v>20.451999999999998</v>
      </c>
      <c r="V35" s="27">
        <f>16.293-15.753</f>
        <v>0.53999999999999915</v>
      </c>
    </row>
    <row r="36" spans="1:22" s="33" customFormat="1">
      <c r="A36" s="20" t="s">
        <v>68</v>
      </c>
      <c r="B36" s="29">
        <f>-12.336-C36-D36</f>
        <v>-1.854000000000001</v>
      </c>
      <c r="C36" s="29">
        <f>-10.485+0.003-D36</f>
        <v>-4.7839999999999989</v>
      </c>
      <c r="D36" s="29">
        <v>-5.6980000000000004</v>
      </c>
      <c r="E36" s="29">
        <f>-30.802-F36-G36-H36</f>
        <v>-7.9869999999999983</v>
      </c>
      <c r="F36" s="29">
        <f>-22.815-G36-H36</f>
        <v>-9.218</v>
      </c>
      <c r="G36" s="29">
        <f>-13.611+0.014-H36</f>
        <v>-8.4170000000000016</v>
      </c>
      <c r="H36" s="29">
        <v>-5.18</v>
      </c>
      <c r="I36" s="29">
        <f>-25.713-J36-K36-L36</f>
        <v>-5.6869999999999994</v>
      </c>
      <c r="J36" s="29">
        <f>-20.026-K36-L36</f>
        <v>0.33300000000000018</v>
      </c>
      <c r="K36" s="29">
        <f>+-13.898+0.2</f>
        <v>-13.698</v>
      </c>
      <c r="L36" s="29">
        <v>-6.6609999999999996</v>
      </c>
      <c r="M36" s="29">
        <f>-53.042-P36-O36-N36</f>
        <v>-12.740000000000002</v>
      </c>
      <c r="N36" s="29">
        <f>-40.302-P36-O36</f>
        <v>-12.001999999999999</v>
      </c>
      <c r="O36" s="29">
        <f>-28.3-P36</f>
        <v>-15.108000000000001</v>
      </c>
      <c r="P36" s="29">
        <v>-13.192</v>
      </c>
      <c r="Q36" s="29">
        <f>-33.589-T36-S36-R36</f>
        <v>-12.757999999999999</v>
      </c>
      <c r="R36" s="29">
        <f>-20.831-T36-S36</f>
        <v>-8.9239999999999995</v>
      </c>
      <c r="S36" s="29">
        <f>-11.907-T36</f>
        <v>-6.5460000000000003</v>
      </c>
      <c r="T36" s="29">
        <v>-5.3609999999999998</v>
      </c>
      <c r="U36" s="29">
        <f>-24.473+15.977</f>
        <v>-8.4959999999999987</v>
      </c>
      <c r="V36" s="29">
        <f>-15.977+12.795</f>
        <v>-3.1820000000000004</v>
      </c>
    </row>
    <row r="37" spans="1:22" s="27" customFormat="1">
      <c r="A37" s="27" t="s">
        <v>69</v>
      </c>
      <c r="B37" s="27">
        <f t="shared" ref="B37:O37" si="15">+B35+B36</f>
        <v>-13.939999999999996</v>
      </c>
      <c r="C37" s="27">
        <f t="shared" si="15"/>
        <v>-49.351000000000006</v>
      </c>
      <c r="D37" s="27">
        <f t="shared" si="15"/>
        <v>-30.962</v>
      </c>
      <c r="E37" s="27">
        <f t="shared" si="15"/>
        <v>-16.107999999999993</v>
      </c>
      <c r="F37" s="27">
        <f t="shared" si="15"/>
        <v>0.76000000000000156</v>
      </c>
      <c r="G37" s="27">
        <f t="shared" si="15"/>
        <v>-20.574000000000005</v>
      </c>
      <c r="H37" s="27">
        <f t="shared" si="15"/>
        <v>42.085000000000001</v>
      </c>
      <c r="I37" s="27">
        <f t="shared" si="15"/>
        <v>19.908000000000008</v>
      </c>
      <c r="J37" s="27">
        <f t="shared" si="15"/>
        <v>57.928999999999995</v>
      </c>
      <c r="K37" s="27">
        <f t="shared" si="15"/>
        <v>-17.834</v>
      </c>
      <c r="L37" s="27">
        <f t="shared" si="15"/>
        <v>16.890999999999998</v>
      </c>
      <c r="M37" s="27">
        <f t="shared" si="15"/>
        <v>-25.394000000000002</v>
      </c>
      <c r="N37" s="27">
        <f t="shared" si="15"/>
        <v>-2.6669999999999998</v>
      </c>
      <c r="O37" s="27">
        <f t="shared" si="15"/>
        <v>-17.743000000000002</v>
      </c>
      <c r="P37" s="27">
        <f t="shared" ref="P37:V37" si="16">+P35+P36</f>
        <v>3.782</v>
      </c>
      <c r="Q37" s="27">
        <f t="shared" si="16"/>
        <v>-14.748999999999999</v>
      </c>
      <c r="R37" s="27">
        <f t="shared" si="16"/>
        <v>11.847999999999999</v>
      </c>
      <c r="S37" s="27">
        <f t="shared" si="16"/>
        <v>12.207000000000001</v>
      </c>
      <c r="T37" s="27">
        <f t="shared" si="16"/>
        <v>2.721000000000001</v>
      </c>
      <c r="U37" s="27">
        <f t="shared" si="16"/>
        <v>11.956</v>
      </c>
      <c r="V37" s="27">
        <f t="shared" si="16"/>
        <v>-2.6420000000000012</v>
      </c>
    </row>
    <row r="39" spans="1:22" s="35" customFormat="1">
      <c r="A39" s="34" t="s">
        <v>70</v>
      </c>
      <c r="B39" s="20">
        <v>92</v>
      </c>
      <c r="C39" s="20">
        <v>91.75</v>
      </c>
      <c r="D39" s="20">
        <v>91.75</v>
      </c>
      <c r="E39" s="20">
        <v>0</v>
      </c>
      <c r="F39" s="20">
        <v>0</v>
      </c>
      <c r="G39" s="20">
        <v>0</v>
      </c>
      <c r="H39" s="20">
        <v>0</v>
      </c>
      <c r="I39" s="20">
        <v>0</v>
      </c>
      <c r="J39" s="20">
        <v>0</v>
      </c>
      <c r="K39" s="20">
        <v>0</v>
      </c>
      <c r="L39" s="20">
        <v>0</v>
      </c>
      <c r="M39" s="20">
        <v>0</v>
      </c>
      <c r="N39" s="20">
        <v>0</v>
      </c>
      <c r="O39" s="20">
        <v>0</v>
      </c>
      <c r="P39" s="20">
        <v>0</v>
      </c>
      <c r="Q39" s="20">
        <v>0</v>
      </c>
      <c r="R39" s="20">
        <v>0</v>
      </c>
      <c r="S39" s="20">
        <v>0</v>
      </c>
      <c r="T39" s="20"/>
      <c r="U39" s="20"/>
      <c r="V39" s="20"/>
    </row>
    <row r="40" spans="1:22" s="35" customFormat="1">
      <c r="A40" s="34" t="s">
        <v>71</v>
      </c>
      <c r="B40" s="20">
        <f>586+82</f>
        <v>668</v>
      </c>
      <c r="C40" s="20">
        <f>587.466+0.058</f>
        <v>587.524</v>
      </c>
      <c r="D40" s="20">
        <f>588.988+0.062</f>
        <v>589.05000000000007</v>
      </c>
      <c r="E40" s="20">
        <f>590.51+18.55</f>
        <v>609.05999999999995</v>
      </c>
      <c r="F40" s="20">
        <f>592.032+19.038</f>
        <v>611.07000000000005</v>
      </c>
      <c r="G40" s="20">
        <f>593.553+16.057</f>
        <v>609.61</v>
      </c>
      <c r="H40" s="20">
        <f>595.075+16.24</f>
        <v>611.31500000000005</v>
      </c>
      <c r="I40" s="20">
        <f>596.597+16.412</f>
        <v>613.00900000000001</v>
      </c>
      <c r="J40" s="20">
        <f>598.119+13.715</f>
        <v>611.83400000000006</v>
      </c>
      <c r="K40" s="20">
        <f>599.641+13.793</f>
        <v>613.43399999999997</v>
      </c>
      <c r="L40" s="20">
        <v>615.09</v>
      </c>
      <c r="M40" s="20">
        <f>602.685+14.211</f>
        <v>616.89599999999996</v>
      </c>
      <c r="N40" s="20">
        <f>604.207+11.715</f>
        <v>615.92200000000003</v>
      </c>
      <c r="O40" s="20">
        <f>605.729+12.23</f>
        <v>617.95900000000006</v>
      </c>
      <c r="P40" s="20">
        <f>607.251+13.531</f>
        <v>620.78199999999993</v>
      </c>
      <c r="Q40" s="20">
        <f>608.773+14.07</f>
        <v>622.84300000000007</v>
      </c>
      <c r="R40" s="20">
        <v>610.33000000000004</v>
      </c>
      <c r="S40" s="20">
        <f>611.887+13.563</f>
        <v>625.44999999999993</v>
      </c>
      <c r="T40" s="20"/>
      <c r="U40" s="20"/>
      <c r="V40" s="20"/>
    </row>
    <row r="41" spans="1:22" s="35" customFormat="1">
      <c r="A41" s="34" t="s">
        <v>72</v>
      </c>
      <c r="B41" s="20">
        <f>B39+B40+375+4</f>
        <v>1139</v>
      </c>
      <c r="C41" s="20">
        <f>C39+C40+375+4.191+0.344</f>
        <v>1058.809</v>
      </c>
      <c r="D41" s="20">
        <f>D39+D40+375+4.478+0.688</f>
        <v>1060.9660000000003</v>
      </c>
      <c r="E41" s="20">
        <f>E39+E40+375+2.942+0.688</f>
        <v>987.68999999999994</v>
      </c>
      <c r="F41" s="20">
        <f>F39+F40+375+3.236</f>
        <v>989.30600000000004</v>
      </c>
      <c r="G41" s="20">
        <f>G39+G40+375+3.34+0.405</f>
        <v>988.35500000000002</v>
      </c>
      <c r="H41" s="20">
        <f>H39+H40+375+3.631+0.786</f>
        <v>990.73199999999997</v>
      </c>
      <c r="I41" s="20">
        <f>I39+I40+375+0.916+4.241</f>
        <v>993.16600000000005</v>
      </c>
      <c r="J41" s="20">
        <f>J39+J40+4.849+0.916+375</f>
        <v>992.59900000000016</v>
      </c>
      <c r="K41" s="20">
        <f>K39+K40+375+1.931+3.379</f>
        <v>993.74400000000003</v>
      </c>
      <c r="L41" s="20">
        <v>996.54200000000003</v>
      </c>
      <c r="M41" s="20">
        <f>M39+M40+375+5.007+3.122</f>
        <v>1000.0249999999999</v>
      </c>
      <c r="N41" s="20">
        <f>N39+N40+375+16.217+3.654</f>
        <v>1010.793</v>
      </c>
      <c r="O41" s="20">
        <f>O39+O40+375+15.148+4.111</f>
        <v>1012.2180000000001</v>
      </c>
      <c r="P41" s="20">
        <f>P39+P40+375+14.96+4.65</f>
        <v>1015.3919999999999</v>
      </c>
      <c r="Q41" s="20">
        <f>Q39+Q40+15.687+375+3.197</f>
        <v>1016.7270000000001</v>
      </c>
      <c r="R41" s="20">
        <f>R39+R40+15.295+375+4.32+13.078</f>
        <v>1018.023</v>
      </c>
      <c r="S41" s="20">
        <f>S39+S40+27.988+300+4.682</f>
        <v>958.11999999999989</v>
      </c>
      <c r="T41" s="20"/>
      <c r="U41" s="20"/>
      <c r="V41" s="20"/>
    </row>
    <row r="42" spans="1:22" s="35" customFormat="1">
      <c r="A42" s="34" t="s">
        <v>73</v>
      </c>
      <c r="B42" s="36">
        <v>0</v>
      </c>
      <c r="C42" s="36">
        <v>0</v>
      </c>
      <c r="D42" s="36">
        <v>0</v>
      </c>
      <c r="E42" s="36">
        <v>0</v>
      </c>
      <c r="F42" s="36">
        <v>0</v>
      </c>
      <c r="G42" s="36">
        <v>0</v>
      </c>
      <c r="H42" s="36">
        <v>0</v>
      </c>
      <c r="I42" s="36">
        <v>0</v>
      </c>
      <c r="J42" s="36">
        <v>0</v>
      </c>
      <c r="K42" s="36">
        <v>0</v>
      </c>
      <c r="L42" s="36">
        <v>0</v>
      </c>
      <c r="M42" s="36">
        <v>0</v>
      </c>
      <c r="N42" s="36">
        <v>0</v>
      </c>
      <c r="O42" s="36">
        <v>0</v>
      </c>
      <c r="P42" s="36">
        <v>0</v>
      </c>
      <c r="Q42" s="36">
        <v>0</v>
      </c>
      <c r="R42" s="36">
        <v>0</v>
      </c>
      <c r="S42" s="36">
        <v>0</v>
      </c>
      <c r="T42" s="36"/>
      <c r="U42" s="36"/>
      <c r="V42" s="36"/>
    </row>
    <row r="43" spans="1:22">
      <c r="B43" s="35"/>
      <c r="C43" s="35"/>
      <c r="D43" s="35"/>
      <c r="E43" s="35"/>
      <c r="F43" s="35"/>
      <c r="G43" s="35"/>
      <c r="H43" s="35"/>
      <c r="I43" s="35"/>
      <c r="J43" s="35"/>
      <c r="K43" s="35"/>
      <c r="L43" s="35"/>
      <c r="M43" s="35"/>
      <c r="N43" s="35"/>
      <c r="O43" s="35"/>
      <c r="P43" s="35"/>
      <c r="Q43" s="35"/>
    </row>
    <row r="44" spans="1:22">
      <c r="A44" s="19" t="s">
        <v>74</v>
      </c>
      <c r="B44" s="28">
        <v>94.558000000000007</v>
      </c>
      <c r="C44" s="28">
        <v>111.899</v>
      </c>
      <c r="D44" s="28">
        <v>165.12799999999999</v>
      </c>
      <c r="E44" s="28">
        <v>80.445999999999998</v>
      </c>
      <c r="F44" s="28">
        <v>131.44499999999999</v>
      </c>
      <c r="G44" s="28">
        <v>133.19</v>
      </c>
      <c r="H44" s="28">
        <v>156.6</v>
      </c>
      <c r="I44" s="28">
        <v>116.562</v>
      </c>
      <c r="J44" s="28">
        <v>95.802000000000007</v>
      </c>
      <c r="K44" s="28">
        <v>48.072000000000003</v>
      </c>
      <c r="L44" s="28">
        <v>63.6</v>
      </c>
      <c r="M44" s="28">
        <v>57.188000000000002</v>
      </c>
      <c r="N44" s="28">
        <v>93.793000000000006</v>
      </c>
      <c r="O44" s="28">
        <v>108.595</v>
      </c>
      <c r="P44" s="28">
        <v>141.48400000000001</v>
      </c>
      <c r="Q44" s="28">
        <v>164.465</v>
      </c>
      <c r="R44" s="28">
        <v>183.48500000000001</v>
      </c>
      <c r="S44" s="28">
        <v>0</v>
      </c>
      <c r="T44" s="28"/>
      <c r="U44" s="28"/>
      <c r="V44" s="28"/>
    </row>
    <row r="46" spans="1:22">
      <c r="A46" s="14" t="s">
        <v>75</v>
      </c>
      <c r="B46" s="51">
        <v>1299</v>
      </c>
      <c r="C46" s="51">
        <v>1307</v>
      </c>
      <c r="D46" s="51">
        <v>1305</v>
      </c>
      <c r="E46" s="51">
        <v>1303</v>
      </c>
      <c r="F46" s="33">
        <f t="shared" ref="F46:K46" si="17">SUM(F12:I12)</f>
        <v>1277.5569999999998</v>
      </c>
      <c r="G46" s="33">
        <f t="shared" si="17"/>
        <v>1265.0369999999998</v>
      </c>
      <c r="H46" s="33">
        <f t="shared" si="17"/>
        <v>1250.1409999999998</v>
      </c>
      <c r="I46" s="33">
        <f t="shared" si="17"/>
        <v>1241.8679999999999</v>
      </c>
      <c r="J46" s="33">
        <f t="shared" si="17"/>
        <v>1241.5740000000001</v>
      </c>
      <c r="K46" s="33">
        <f t="shared" si="17"/>
        <v>1225.943</v>
      </c>
      <c r="L46" s="33">
        <f t="shared" ref="L46:S46" si="18">SUM(L12:O12)</f>
        <v>1222.875</v>
      </c>
      <c r="M46" s="33">
        <f t="shared" si="18"/>
        <v>1208.413</v>
      </c>
      <c r="N46" s="33">
        <f t="shared" si="18"/>
        <v>1184.489</v>
      </c>
      <c r="O46" s="33">
        <f t="shared" si="18"/>
        <v>1172.579</v>
      </c>
      <c r="P46" s="33">
        <f t="shared" si="18"/>
        <v>1161.309</v>
      </c>
      <c r="Q46" s="33">
        <f t="shared" si="18"/>
        <v>1145.989</v>
      </c>
      <c r="R46" s="33">
        <f t="shared" si="18"/>
        <v>1811.7539999999999</v>
      </c>
      <c r="S46" s="33">
        <f t="shared" si="18"/>
        <v>1770.6490000000001</v>
      </c>
    </row>
    <row r="47" spans="1:22">
      <c r="A47" s="14" t="s">
        <v>76</v>
      </c>
      <c r="B47" s="33">
        <f t="shared" ref="B47:C47" si="19">+B27</f>
        <v>153.62799999999999</v>
      </c>
      <c r="C47" s="33">
        <f t="shared" si="19"/>
        <v>140.07599999999999</v>
      </c>
      <c r="D47" s="33">
        <f t="shared" ref="D47:E47" si="20">+D27</f>
        <v>134.179</v>
      </c>
      <c r="E47" s="33">
        <f t="shared" si="20"/>
        <v>140.75199999999998</v>
      </c>
      <c r="F47" s="33">
        <f t="shared" ref="F47:G47" si="21">+F27</f>
        <v>96.572000000000003</v>
      </c>
      <c r="G47" s="33">
        <f t="shared" si="21"/>
        <v>101.63300000000001</v>
      </c>
      <c r="H47" s="33">
        <f t="shared" ref="H47:I47" si="22">+H27</f>
        <v>106.30200000000001</v>
      </c>
      <c r="I47" s="33">
        <f t="shared" si="22"/>
        <v>114.15000000000002</v>
      </c>
      <c r="J47" s="33">
        <f t="shared" ref="J47:L47" si="23">+J27</f>
        <v>122.26800000000001</v>
      </c>
      <c r="K47" s="33">
        <f t="shared" si="23"/>
        <v>122.208</v>
      </c>
      <c r="L47" s="33">
        <f t="shared" si="23"/>
        <v>125.56100000000002</v>
      </c>
      <c r="M47" s="33">
        <f>+M27</f>
        <v>128.21600000000001</v>
      </c>
      <c r="N47" s="33">
        <f t="shared" ref="N47:S47" si="24">+N27</f>
        <v>137.02099999999999</v>
      </c>
      <c r="O47" s="33">
        <f t="shared" si="24"/>
        <v>140.41199999999998</v>
      </c>
      <c r="P47" s="33">
        <f t="shared" si="24"/>
        <v>138.78599999999997</v>
      </c>
      <c r="Q47" s="33">
        <f t="shared" si="24"/>
        <v>141.02399999999997</v>
      </c>
      <c r="R47" s="33">
        <f t="shared" si="24"/>
        <v>133.399</v>
      </c>
      <c r="S47" s="33">
        <f t="shared" si="24"/>
        <v>136.429</v>
      </c>
    </row>
    <row r="48" spans="1:22">
      <c r="A48" s="14" t="s">
        <v>77</v>
      </c>
      <c r="B48" s="33">
        <f t="shared" ref="B48:K48" si="25">+SUM(B37:E37)</f>
        <v>-110.36099999999999</v>
      </c>
      <c r="C48" s="33">
        <f t="shared" si="25"/>
        <v>-95.660999999999987</v>
      </c>
      <c r="D48" s="33">
        <f t="shared" si="25"/>
        <v>-66.883999999999986</v>
      </c>
      <c r="E48" s="33">
        <f t="shared" si="25"/>
        <v>6.1630000000000038</v>
      </c>
      <c r="F48" s="33">
        <f t="shared" si="25"/>
        <v>42.179000000000002</v>
      </c>
      <c r="G48" s="33">
        <f t="shared" si="25"/>
        <v>99.347999999999999</v>
      </c>
      <c r="H48" s="33">
        <f t="shared" si="25"/>
        <v>102.08799999999999</v>
      </c>
      <c r="I48" s="33">
        <f t="shared" si="25"/>
        <v>76.894000000000005</v>
      </c>
      <c r="J48" s="33">
        <f t="shared" si="25"/>
        <v>31.591999999999995</v>
      </c>
      <c r="K48" s="33">
        <f t="shared" si="25"/>
        <v>-29.004000000000005</v>
      </c>
      <c r="L48" s="33">
        <f t="shared" ref="L48" si="26">+SUM(L37:O37)</f>
        <v>-28.913000000000004</v>
      </c>
      <c r="M48" s="33">
        <f t="shared" ref="M48:S48" si="27">+SUM(M37:P37)</f>
        <v>-42.022000000000006</v>
      </c>
      <c r="N48" s="33">
        <f t="shared" si="27"/>
        <v>-31.377000000000002</v>
      </c>
      <c r="O48" s="33">
        <f t="shared" si="27"/>
        <v>-16.862000000000002</v>
      </c>
      <c r="P48" s="33">
        <f t="shared" si="27"/>
        <v>13.088000000000001</v>
      </c>
      <c r="Q48" s="33">
        <f t="shared" si="27"/>
        <v>12.027000000000001</v>
      </c>
      <c r="R48" s="33">
        <f t="shared" si="27"/>
        <v>38.731999999999999</v>
      </c>
      <c r="S48" s="33">
        <f t="shared" si="27"/>
        <v>24.241999999999997</v>
      </c>
    </row>
    <row r="50" spans="1:22" s="37" customFormat="1">
      <c r="A50" s="37" t="s">
        <v>78</v>
      </c>
      <c r="B50" s="37">
        <f t="shared" ref="B50:C50" si="28">+SUM(B39:B40)/B47</f>
        <v>4.9470148670815224</v>
      </c>
      <c r="C50" s="37">
        <f t="shared" si="28"/>
        <v>4.8493246523315916</v>
      </c>
      <c r="D50" s="37">
        <f t="shared" ref="D50:E50" si="29">+SUM(D39:D40)/D47</f>
        <v>5.0738193010828825</v>
      </c>
      <c r="E50" s="37">
        <f t="shared" si="29"/>
        <v>4.3271854041150393</v>
      </c>
      <c r="F50" s="37">
        <f t="shared" ref="F50:G50" si="30">+SUM(F39:F40)/F47</f>
        <v>6.3276104875119081</v>
      </c>
      <c r="G50" s="37">
        <f t="shared" si="30"/>
        <v>5.9981502071177664</v>
      </c>
      <c r="H50" s="37">
        <f t="shared" ref="H50:I50" si="31">+SUM(H39:H40)/H47</f>
        <v>5.7507384621173641</v>
      </c>
      <c r="I50" s="37">
        <f t="shared" si="31"/>
        <v>5.370205869469995</v>
      </c>
      <c r="J50" s="37">
        <f t="shared" ref="J50:S50" si="32">+SUM(J39:J40)/J47</f>
        <v>5.004040304903981</v>
      </c>
      <c r="K50" s="37">
        <f t="shared" si="32"/>
        <v>5.0195895522388057</v>
      </c>
      <c r="L50" s="37">
        <f t="shared" si="32"/>
        <v>4.8987344796553067</v>
      </c>
      <c r="M50" s="37">
        <f t="shared" si="32"/>
        <v>4.8113807949085912</v>
      </c>
      <c r="N50" s="37">
        <f t="shared" si="32"/>
        <v>4.4950919931981232</v>
      </c>
      <c r="O50" s="37">
        <f t="shared" si="32"/>
        <v>4.4010412215480166</v>
      </c>
      <c r="P50" s="37">
        <f t="shared" si="32"/>
        <v>4.4729439568832596</v>
      </c>
      <c r="Q50" s="37">
        <f t="shared" si="32"/>
        <v>4.416574483775813</v>
      </c>
      <c r="R50" s="37">
        <f t="shared" si="32"/>
        <v>4.5752217033111195</v>
      </c>
      <c r="S50" s="37">
        <f t="shared" si="32"/>
        <v>4.5844358604109088</v>
      </c>
    </row>
    <row r="51" spans="1:22" s="37" customFormat="1">
      <c r="A51" s="37" t="s">
        <v>79</v>
      </c>
      <c r="B51" s="37">
        <f t="shared" ref="B51:C51" si="33">+B41/B47</f>
        <v>7.4140130705340175</v>
      </c>
      <c r="C51" s="37">
        <f t="shared" si="33"/>
        <v>7.5588180701904681</v>
      </c>
      <c r="D51" s="37">
        <f t="shared" ref="D51:E51" si="34">+D41/D47</f>
        <v>7.9070942546896337</v>
      </c>
      <c r="E51" s="37">
        <f t="shared" si="34"/>
        <v>7.0172359895418897</v>
      </c>
      <c r="F51" s="37">
        <f t="shared" ref="F51:G51" si="35">+F41/F47</f>
        <v>10.244232282649214</v>
      </c>
      <c r="G51" s="37">
        <f t="shared" si="35"/>
        <v>9.7247449155294046</v>
      </c>
      <c r="H51" s="37">
        <f t="shared" ref="H51:I51" si="36">+H41/H47</f>
        <v>9.3199751650956699</v>
      </c>
      <c r="I51" s="37">
        <f t="shared" si="36"/>
        <v>8.7005343845816903</v>
      </c>
      <c r="J51" s="37">
        <f t="shared" ref="J51:S51" si="37">+J41/J47</f>
        <v>8.1182239015932218</v>
      </c>
      <c r="K51" s="37">
        <f t="shared" si="37"/>
        <v>8.1315789473684212</v>
      </c>
      <c r="L51" s="37">
        <f t="shared" si="37"/>
        <v>7.9367160185089309</v>
      </c>
      <c r="M51" s="37">
        <f t="shared" si="37"/>
        <v>7.7995335995507569</v>
      </c>
      <c r="N51" s="37">
        <f t="shared" si="37"/>
        <v>7.3769203260814047</v>
      </c>
      <c r="O51" s="37">
        <f t="shared" si="37"/>
        <v>7.2089137680540141</v>
      </c>
      <c r="P51" s="37">
        <f t="shared" si="37"/>
        <v>7.3162422722753027</v>
      </c>
      <c r="Q51" s="37">
        <f t="shared" si="37"/>
        <v>7.2096026208304993</v>
      </c>
      <c r="R51" s="37">
        <f t="shared" si="37"/>
        <v>7.6314140285909193</v>
      </c>
      <c r="S51" s="37">
        <f t="shared" si="37"/>
        <v>7.0228470486480141</v>
      </c>
    </row>
    <row r="52" spans="1:22" s="37" customFormat="1">
      <c r="A52" s="37" t="s">
        <v>80</v>
      </c>
      <c r="B52" s="37">
        <f t="shared" ref="B52:C52" si="38">+(B41-B44)/B47</f>
        <v>6.7985132918478408</v>
      </c>
      <c r="C52" s="37">
        <f t="shared" si="38"/>
        <v>6.7599731574288242</v>
      </c>
      <c r="D52" s="37">
        <f t="shared" ref="D52:E52" si="39">+(D41-D44)/D47</f>
        <v>6.6764396813212228</v>
      </c>
      <c r="E52" s="37">
        <f t="shared" si="39"/>
        <v>6.4456917130840061</v>
      </c>
      <c r="F52" s="37">
        <f t="shared" ref="F52:G52" si="40">+(F41-F44)/F47</f>
        <v>8.8831234726421737</v>
      </c>
      <c r="G52" s="37">
        <f t="shared" si="40"/>
        <v>8.4142453730579625</v>
      </c>
      <c r="H52" s="37">
        <f t="shared" ref="H52:I52" si="41">+(H41-H44)/H47</f>
        <v>7.8468137946604948</v>
      </c>
      <c r="I52" s="37">
        <f t="shared" si="41"/>
        <v>7.6794042925974582</v>
      </c>
      <c r="J52" s="37">
        <f t="shared" ref="J52:S52" si="42">+(J41-J44)/J47</f>
        <v>7.334682827886283</v>
      </c>
      <c r="K52" s="37">
        <f t="shared" si="42"/>
        <v>7.7382168106834257</v>
      </c>
      <c r="L52" s="37">
        <f t="shared" si="42"/>
        <v>7.4301893103750354</v>
      </c>
      <c r="M52" s="37">
        <f t="shared" si="42"/>
        <v>7.3535050227740673</v>
      </c>
      <c r="N52" s="37">
        <f t="shared" si="42"/>
        <v>6.6924048138606498</v>
      </c>
      <c r="O52" s="37">
        <f t="shared" si="42"/>
        <v>6.4355112098681042</v>
      </c>
      <c r="P52" s="37">
        <f t="shared" si="42"/>
        <v>6.2968022711224476</v>
      </c>
      <c r="Q52" s="37">
        <f t="shared" si="42"/>
        <v>6.0433826866349003</v>
      </c>
      <c r="R52" s="37">
        <f t="shared" si="42"/>
        <v>6.2559539426832282</v>
      </c>
      <c r="S52" s="37">
        <f t="shared" si="42"/>
        <v>7.0228470486480141</v>
      </c>
    </row>
    <row r="53" spans="1:22" s="38" customFormat="1">
      <c r="A53" s="38" t="s">
        <v>81</v>
      </c>
      <c r="B53" s="38">
        <f t="shared" ref="B53:C53" si="43">+B48/B41</f>
        <v>-9.689288849868305E-2</v>
      </c>
      <c r="C53" s="38">
        <f t="shared" si="43"/>
        <v>-9.0347739771762414E-2</v>
      </c>
      <c r="D53" s="38">
        <f t="shared" ref="D53:E53" si="44">+D48/D41</f>
        <v>-6.3040662943016051E-2</v>
      </c>
      <c r="E53" s="38">
        <f t="shared" si="44"/>
        <v>6.239812086788369E-3</v>
      </c>
      <c r="F53" s="38">
        <f t="shared" ref="F53:G53" si="45">+F48/F41</f>
        <v>4.2634938027263557E-2</v>
      </c>
      <c r="G53" s="38">
        <f t="shared" si="45"/>
        <v>0.10051853837942844</v>
      </c>
      <c r="H53" s="38">
        <f t="shared" ref="H53:I53" si="46">+H48/H41</f>
        <v>0.10304300254761126</v>
      </c>
      <c r="I53" s="38">
        <f t="shared" si="46"/>
        <v>7.742310953053165E-2</v>
      </c>
      <c r="J53" s="38">
        <f t="shared" ref="J53:L53" si="47">+J48/J41</f>
        <v>3.1827555740031967E-2</v>
      </c>
      <c r="K53" s="38">
        <f t="shared" si="47"/>
        <v>-2.9186591315268323E-2</v>
      </c>
      <c r="L53" s="38">
        <f t="shared" si="47"/>
        <v>-2.901332808853014E-2</v>
      </c>
      <c r="M53" s="38">
        <f>+M48/M41</f>
        <v>-4.2020949476263107E-2</v>
      </c>
      <c r="N53" s="38">
        <f t="shared" ref="N53:S53" si="48">+N48/N41</f>
        <v>-3.1041964081666575E-2</v>
      </c>
      <c r="O53" s="38">
        <f t="shared" si="48"/>
        <v>-1.6658466852002236E-2</v>
      </c>
      <c r="P53" s="38">
        <f t="shared" si="48"/>
        <v>1.2889603227128047E-2</v>
      </c>
      <c r="Q53" s="38">
        <f t="shared" si="48"/>
        <v>1.1829134074338539E-2</v>
      </c>
      <c r="R53" s="38">
        <f t="shared" si="48"/>
        <v>3.804629168496193E-2</v>
      </c>
      <c r="S53" s="38">
        <f t="shared" si="48"/>
        <v>2.5301632363378283E-2</v>
      </c>
    </row>
    <row r="54" spans="1:22" s="38" customFormat="1">
      <c r="A54" s="39" t="s">
        <v>82</v>
      </c>
      <c r="B54" s="40">
        <v>12.7</v>
      </c>
      <c r="C54" s="40">
        <v>12.7</v>
      </c>
      <c r="D54" s="40">
        <v>12.7</v>
      </c>
      <c r="E54" s="40">
        <v>12.7</v>
      </c>
      <c r="F54" s="40">
        <v>12.7</v>
      </c>
      <c r="G54" s="40">
        <v>12.7</v>
      </c>
      <c r="H54" s="40">
        <v>12.7</v>
      </c>
      <c r="I54" s="40">
        <v>12.7</v>
      </c>
      <c r="J54" s="40">
        <v>12.7</v>
      </c>
      <c r="K54" s="40">
        <v>12.7</v>
      </c>
      <c r="L54" s="40">
        <v>12.7</v>
      </c>
      <c r="M54" s="40">
        <v>12.7</v>
      </c>
      <c r="N54" s="40">
        <v>12.7</v>
      </c>
      <c r="O54" s="40">
        <v>12.7</v>
      </c>
      <c r="P54" s="40">
        <v>12.7</v>
      </c>
      <c r="Q54" s="40">
        <v>12.7</v>
      </c>
      <c r="R54" s="40">
        <v>12.7</v>
      </c>
      <c r="S54" s="40">
        <v>12.7</v>
      </c>
      <c r="T54" s="39"/>
      <c r="U54" s="39"/>
      <c r="V54" s="39"/>
    </row>
    <row r="55" spans="1:22" s="38" customFormat="1">
      <c r="A55" s="38" t="s">
        <v>83</v>
      </c>
      <c r="B55" s="41" t="str">
        <f t="shared" ref="B55:C55" si="49">IF(B42=0,IF(B54="","","*"&amp;TEXT(B54,"0.0x")),(B41+B42-B44)/B47)</f>
        <v>*12.7x</v>
      </c>
      <c r="C55" s="41" t="str">
        <f t="shared" si="49"/>
        <v>*12.7x</v>
      </c>
      <c r="D55" s="41" t="str">
        <f t="shared" ref="D55:E55" si="50">IF(D42=0,IF(D54="","","*"&amp;TEXT(D54,"0.0x")),(D41+D42-D44)/D47)</f>
        <v>*12.7x</v>
      </c>
      <c r="E55" s="41" t="str">
        <f t="shared" si="50"/>
        <v>*12.7x</v>
      </c>
      <c r="F55" s="41" t="str">
        <f t="shared" ref="F55:G55" si="51">IF(F42=0,IF(F54="","","*"&amp;TEXT(F54,"0.0x")),(F41+F42-F44)/F47)</f>
        <v>*12.7x</v>
      </c>
      <c r="G55" s="41" t="str">
        <f t="shared" si="51"/>
        <v>*12.7x</v>
      </c>
      <c r="H55" s="41" t="str">
        <f t="shared" ref="H55:I55" si="52">IF(H42=0,IF(H54="","","*"&amp;TEXT(H54,"0.0x")),(H41+H42-H44)/H47)</f>
        <v>*12.7x</v>
      </c>
      <c r="I55" s="41" t="str">
        <f t="shared" si="52"/>
        <v>*12.7x</v>
      </c>
      <c r="J55" s="41" t="str">
        <f t="shared" ref="J55:L55" si="53">IF(J42=0,IF(J54="","","*"&amp;TEXT(J54,"0.0x")),(J41+J42-J44)/J47)</f>
        <v>*12.7x</v>
      </c>
      <c r="K55" s="41" t="str">
        <f t="shared" si="53"/>
        <v>*12.7x</v>
      </c>
      <c r="L55" s="41" t="str">
        <f t="shared" si="53"/>
        <v>*12.7x</v>
      </c>
      <c r="M55" s="41" t="str">
        <f>IF(M42=0,IF(M54="","","*"&amp;TEXT(M54,"0.0x")),(M41+M42-M44)/M47)</f>
        <v>*12.7x</v>
      </c>
      <c r="N55" s="41" t="str">
        <f t="shared" ref="N55:S55" si="54">IF(N42=0,IF(N54="","","*"&amp;TEXT(N54,"0.0x")),(N41+N42-N44)/N47)</f>
        <v>*12.7x</v>
      </c>
      <c r="O55" s="41" t="str">
        <f t="shared" si="54"/>
        <v>*12.7x</v>
      </c>
      <c r="P55" s="41" t="str">
        <f t="shared" si="54"/>
        <v>*12.7x</v>
      </c>
      <c r="Q55" s="41" t="str">
        <f t="shared" si="54"/>
        <v>*12.7x</v>
      </c>
      <c r="R55" s="41" t="str">
        <f t="shared" si="54"/>
        <v>*12.7x</v>
      </c>
      <c r="S55" s="41" t="str">
        <f t="shared" si="54"/>
        <v>*12.7x</v>
      </c>
      <c r="T55" s="41" t="str">
        <f>IF(T42=0,IF(T54="","",CONCATENATE("* ",T54,"x")),(T41+T42-T44)/T47)</f>
        <v/>
      </c>
      <c r="U55" s="41" t="str">
        <f>IF(U42=0,IF(U54="","",CONCATENATE("* ",U54,"x")),(U41+U42-U44)/U47)</f>
        <v/>
      </c>
      <c r="V55" s="41" t="str">
        <f>IF(V42=0,IF(V54="","",CONCATENATE("* ",V54,"x")),(V41+V42-V44)/V47)</f>
        <v/>
      </c>
    </row>
    <row r="56" spans="1:22">
      <c r="S56" s="42"/>
    </row>
    <row r="57" spans="1:22" ht="80.25" customHeight="1">
      <c r="A57" s="43" t="s">
        <v>84</v>
      </c>
      <c r="B57" s="44" t="s">
        <v>289</v>
      </c>
      <c r="C57" s="44" t="s">
        <v>289</v>
      </c>
      <c r="D57" s="44" t="s">
        <v>289</v>
      </c>
      <c r="E57" s="44" t="s">
        <v>289</v>
      </c>
      <c r="F57" s="44" t="s">
        <v>289</v>
      </c>
      <c r="G57" s="44" t="s">
        <v>289</v>
      </c>
      <c r="H57" s="44" t="s">
        <v>289</v>
      </c>
      <c r="I57" s="44" t="s">
        <v>289</v>
      </c>
      <c r="J57" s="44" t="s">
        <v>289</v>
      </c>
      <c r="K57" s="44"/>
      <c r="L57" s="44"/>
      <c r="M57" s="44"/>
      <c r="N57" s="44"/>
      <c r="O57" s="44"/>
      <c r="P57" s="44"/>
      <c r="Q57" s="44"/>
      <c r="R57" s="44"/>
      <c r="S57" s="44"/>
      <c r="T57" s="44"/>
      <c r="U57" s="44"/>
      <c r="V57" s="44"/>
    </row>
    <row r="58" spans="1:22">
      <c r="A58" s="45"/>
      <c r="B58" s="42"/>
      <c r="C58" s="42"/>
      <c r="D58" s="42"/>
      <c r="E58" s="42"/>
      <c r="F58" s="42"/>
      <c r="G58" s="42"/>
      <c r="H58" s="42"/>
      <c r="I58" s="42"/>
      <c r="J58" s="42"/>
      <c r="K58" s="42"/>
      <c r="L58" s="42"/>
      <c r="M58" s="42"/>
      <c r="N58" s="42"/>
      <c r="O58" s="42"/>
    </row>
    <row r="59" spans="1:22">
      <c r="A59" s="45"/>
    </row>
  </sheetData>
  <pageMargins left="0.7" right="0.7" top="0.75" bottom="0.75" header="0.3" footer="0.3"/>
  <pageSetup orientation="portrait" r:id="rId1"/>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2:M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53" sqref="B53"/>
    </sheetView>
  </sheetViews>
  <sheetFormatPr defaultColWidth="9.109375" defaultRowHeight="13.8"/>
  <cols>
    <col min="1" max="1" width="22.6640625" style="14" customWidth="1"/>
    <col min="2" max="13" width="10.6640625" style="14" customWidth="1"/>
    <col min="14" max="16384" width="9.109375" style="14"/>
  </cols>
  <sheetData>
    <row r="2" spans="1:13">
      <c r="A2" s="13" t="s">
        <v>44</v>
      </c>
      <c r="B2" s="14" t="s">
        <v>35</v>
      </c>
    </row>
    <row r="3" spans="1:13" s="16" customFormat="1">
      <c r="A3" s="15" t="s">
        <v>45</v>
      </c>
      <c r="B3" s="16" t="s">
        <v>138</v>
      </c>
    </row>
    <row r="4" spans="1:13">
      <c r="A4" s="13" t="s">
        <v>2</v>
      </c>
      <c r="B4" s="14" t="s">
        <v>4</v>
      </c>
    </row>
    <row r="5" spans="1:13">
      <c r="A5" s="13" t="s">
        <v>46</v>
      </c>
    </row>
    <row r="6" spans="1:13">
      <c r="A6" s="13" t="s">
        <v>47</v>
      </c>
      <c r="B6" s="14">
        <v>5</v>
      </c>
    </row>
    <row r="7" spans="1:13">
      <c r="A7" s="13" t="s">
        <v>48</v>
      </c>
      <c r="B7" s="14" t="e">
        <v>#N/A</v>
      </c>
    </row>
    <row r="8" spans="1:13">
      <c r="A8" s="13" t="s">
        <v>347</v>
      </c>
      <c r="B8" s="14" t="s">
        <v>379</v>
      </c>
    </row>
    <row r="9" spans="1:13">
      <c r="A9" s="17"/>
    </row>
    <row r="10" spans="1:13">
      <c r="A10" s="17" t="s">
        <v>49</v>
      </c>
      <c r="B10" s="18">
        <v>43373</v>
      </c>
      <c r="C10" s="18">
        <v>43281</v>
      </c>
      <c r="D10" s="18">
        <v>43190</v>
      </c>
      <c r="E10" s="18">
        <v>43100</v>
      </c>
      <c r="F10" s="18">
        <v>43008</v>
      </c>
      <c r="G10" s="18">
        <f>EOMONTH(F10,-3)</f>
        <v>42916</v>
      </c>
      <c r="H10" s="18">
        <f t="shared" ref="H10:M10" si="0">EOMONTH(G10,-3)</f>
        <v>42825</v>
      </c>
      <c r="I10" s="18">
        <f t="shared" si="0"/>
        <v>42735</v>
      </c>
      <c r="J10" s="18">
        <f t="shared" si="0"/>
        <v>42643</v>
      </c>
      <c r="K10" s="18">
        <f t="shared" si="0"/>
        <v>42551</v>
      </c>
      <c r="L10" s="18">
        <f t="shared" si="0"/>
        <v>42460</v>
      </c>
      <c r="M10" s="18">
        <f t="shared" si="0"/>
        <v>42369</v>
      </c>
    </row>
    <row r="12" spans="1:13">
      <c r="A12" s="19" t="s">
        <v>50</v>
      </c>
      <c r="B12" s="20">
        <v>74.713999999999999</v>
      </c>
      <c r="C12" s="20">
        <v>46.354999999999997</v>
      </c>
      <c r="D12" s="20">
        <v>38.185000000000002</v>
      </c>
      <c r="E12" s="20">
        <v>18.567999999999984</v>
      </c>
      <c r="F12" s="20">
        <v>77.876000000000005</v>
      </c>
      <c r="G12" s="20">
        <v>47.756</v>
      </c>
      <c r="H12" s="20">
        <v>13.679999999999998</v>
      </c>
      <c r="I12" s="20">
        <v>11.050000000000006</v>
      </c>
      <c r="J12" s="20">
        <v>79.655000000000015</v>
      </c>
      <c r="K12" s="20">
        <v>46.843000000000004</v>
      </c>
      <c r="L12" s="20">
        <v>14.212</v>
      </c>
      <c r="M12" s="20"/>
    </row>
    <row r="13" spans="1:13" s="21" customFormat="1">
      <c r="A13" s="21" t="s">
        <v>51</v>
      </c>
      <c r="B13" s="21">
        <f t="shared" ref="B13:E13" si="1">+B12/F12-1</f>
        <v>-4.0603009913195431E-2</v>
      </c>
      <c r="C13" s="21">
        <f t="shared" si="1"/>
        <v>-2.9336627858279618E-2</v>
      </c>
      <c r="D13" s="21">
        <f t="shared" si="1"/>
        <v>1.791301169590644</v>
      </c>
      <c r="E13" s="21">
        <f t="shared" si="1"/>
        <v>0.68036199095022387</v>
      </c>
      <c r="F13" s="21">
        <f>+F12/J12-1</f>
        <v>-2.2333814575356326E-2</v>
      </c>
      <c r="G13" s="21">
        <f>+G12/K12-1</f>
        <v>1.9490638942851524E-2</v>
      </c>
      <c r="H13" s="21">
        <f>+H12/L12-1</f>
        <v>-3.7433155080214053E-2</v>
      </c>
    </row>
    <row r="14" spans="1:13" s="24" customFormat="1">
      <c r="A14" s="22" t="s">
        <v>52</v>
      </c>
      <c r="B14" s="23" t="s">
        <v>3</v>
      </c>
      <c r="C14" s="23" t="s">
        <v>3</v>
      </c>
      <c r="D14" s="23" t="s">
        <v>3</v>
      </c>
      <c r="E14" s="23" t="s">
        <v>3</v>
      </c>
      <c r="F14" s="23" t="s">
        <v>3</v>
      </c>
      <c r="G14" s="23" t="s">
        <v>3</v>
      </c>
      <c r="H14" s="23" t="s">
        <v>3</v>
      </c>
      <c r="I14" s="23"/>
      <c r="J14" s="22"/>
      <c r="K14" s="22"/>
      <c r="L14" s="22"/>
      <c r="M14" s="22"/>
    </row>
    <row r="16" spans="1:13" s="17" customFormat="1">
      <c r="A16" s="25" t="s">
        <v>53</v>
      </c>
      <c r="B16" s="26">
        <f>B24-C16-D16-E16</f>
        <v>40.876000000000033</v>
      </c>
      <c r="C16" s="26">
        <v>22.947999999999993</v>
      </c>
      <c r="D16" s="26">
        <v>4.9570000000000025</v>
      </c>
      <c r="E16" s="26">
        <v>-3.0810000000000279</v>
      </c>
      <c r="F16" s="26">
        <v>45.436000000000007</v>
      </c>
      <c r="G16" s="26">
        <v>15.113</v>
      </c>
      <c r="H16" s="26">
        <v>-1.969000000000003</v>
      </c>
      <c r="I16" s="26">
        <v>-2.6949999999999807</v>
      </c>
      <c r="J16" s="26">
        <v>49.414000000000016</v>
      </c>
      <c r="K16" s="26">
        <v>18.314</v>
      </c>
      <c r="L16" s="26">
        <v>0.60200000000000031</v>
      </c>
      <c r="M16" s="26"/>
    </row>
    <row r="17" spans="1:13" s="21" customFormat="1">
      <c r="A17" s="21" t="s">
        <v>54</v>
      </c>
      <c r="B17" s="21">
        <f t="shared" ref="B17:E17" si="2">+B16/B12</f>
        <v>0.54709960649945166</v>
      </c>
      <c r="C17" s="21">
        <f t="shared" si="2"/>
        <v>0.49504907776938828</v>
      </c>
      <c r="D17" s="21">
        <f t="shared" si="2"/>
        <v>0.12981537252847983</v>
      </c>
      <c r="E17" s="21">
        <f t="shared" si="2"/>
        <v>-0.16593063334769662</v>
      </c>
      <c r="F17" s="21">
        <f>+F16/F12</f>
        <v>0.58344034105501064</v>
      </c>
      <c r="G17" s="21">
        <f t="shared" ref="G17:L17" si="3">+G16/G12</f>
        <v>0.31646285283524583</v>
      </c>
      <c r="H17" s="21">
        <f t="shared" si="3"/>
        <v>-0.14393274853801194</v>
      </c>
      <c r="I17" s="21">
        <f t="shared" si="3"/>
        <v>-0.24389140271493026</v>
      </c>
      <c r="J17" s="21">
        <f t="shared" si="3"/>
        <v>0.62035026049839948</v>
      </c>
      <c r="K17" s="21">
        <f t="shared" si="3"/>
        <v>0.39096556582627073</v>
      </c>
      <c r="L17" s="21">
        <f t="shared" si="3"/>
        <v>4.2358570222347333E-2</v>
      </c>
    </row>
    <row r="18" spans="1:13" s="24" customFormat="1"/>
    <row r="19" spans="1:13" s="24" customFormat="1">
      <c r="A19" s="19" t="s">
        <v>55</v>
      </c>
      <c r="B19" s="20">
        <v>0</v>
      </c>
      <c r="C19" s="20">
        <v>0</v>
      </c>
      <c r="D19" s="20">
        <v>0</v>
      </c>
      <c r="E19" s="20">
        <v>0</v>
      </c>
      <c r="F19" s="20">
        <v>0</v>
      </c>
      <c r="G19" s="20">
        <v>0</v>
      </c>
      <c r="H19" s="20">
        <v>0</v>
      </c>
      <c r="I19" s="20">
        <v>0</v>
      </c>
      <c r="J19" s="20">
        <v>0</v>
      </c>
      <c r="K19" s="20">
        <v>0</v>
      </c>
      <c r="L19" s="20">
        <v>0</v>
      </c>
      <c r="M19" s="20"/>
    </row>
    <row r="20" spans="1:13" s="24" customFormat="1">
      <c r="A20" s="19" t="s">
        <v>56</v>
      </c>
      <c r="B20" s="20">
        <v>0</v>
      </c>
      <c r="C20" s="20">
        <v>0</v>
      </c>
      <c r="D20" s="20">
        <v>0</v>
      </c>
      <c r="E20" s="20">
        <v>0</v>
      </c>
      <c r="F20" s="20">
        <v>0</v>
      </c>
      <c r="G20" s="20">
        <v>0</v>
      </c>
      <c r="H20" s="20">
        <v>0</v>
      </c>
      <c r="I20" s="20">
        <v>0</v>
      </c>
      <c r="J20" s="20">
        <v>0</v>
      </c>
      <c r="K20" s="20">
        <v>0</v>
      </c>
      <c r="L20" s="20">
        <v>0</v>
      </c>
      <c r="M20" s="20"/>
    </row>
    <row r="21" spans="1:13" s="24" customFormat="1">
      <c r="A21" s="19" t="s">
        <v>57</v>
      </c>
      <c r="B21" s="20">
        <v>0</v>
      </c>
      <c r="C21" s="20">
        <v>0</v>
      </c>
      <c r="D21" s="20">
        <v>0</v>
      </c>
      <c r="E21" s="20">
        <v>0</v>
      </c>
      <c r="F21" s="20">
        <v>0</v>
      </c>
      <c r="G21" s="20">
        <v>0</v>
      </c>
      <c r="H21" s="20">
        <v>0</v>
      </c>
      <c r="I21" s="20">
        <v>0</v>
      </c>
      <c r="J21" s="20">
        <v>0</v>
      </c>
      <c r="K21" s="20">
        <v>0</v>
      </c>
      <c r="L21" s="20">
        <v>0</v>
      </c>
      <c r="M21" s="20"/>
    </row>
    <row r="22" spans="1:13" s="17" customFormat="1">
      <c r="A22" s="17" t="s">
        <v>58</v>
      </c>
      <c r="B22" s="27">
        <f t="shared" ref="B22:E22" si="4">SUM(B16,B19:B21)</f>
        <v>40.876000000000033</v>
      </c>
      <c r="C22" s="27">
        <f t="shared" si="4"/>
        <v>22.947999999999993</v>
      </c>
      <c r="D22" s="27">
        <f t="shared" si="4"/>
        <v>4.9570000000000025</v>
      </c>
      <c r="E22" s="27">
        <f t="shared" si="4"/>
        <v>-3.0810000000000279</v>
      </c>
      <c r="F22" s="27">
        <f>SUM(F16,F19:F21)</f>
        <v>45.436000000000007</v>
      </c>
      <c r="G22" s="27">
        <f t="shared" ref="G22:L22" si="5">SUM(G16,G19:G21)</f>
        <v>15.113</v>
      </c>
      <c r="H22" s="27">
        <f t="shared" si="5"/>
        <v>-1.969000000000003</v>
      </c>
      <c r="I22" s="27">
        <f t="shared" si="5"/>
        <v>-2.6949999999999807</v>
      </c>
      <c r="J22" s="27">
        <f t="shared" si="5"/>
        <v>49.414000000000016</v>
      </c>
      <c r="K22" s="27">
        <f t="shared" si="5"/>
        <v>18.314</v>
      </c>
      <c r="L22" s="27">
        <f t="shared" si="5"/>
        <v>0.60200000000000031</v>
      </c>
      <c r="M22" s="27"/>
    </row>
    <row r="23" spans="1:13" s="17" customFormat="1">
      <c r="B23" s="27"/>
      <c r="C23" s="27"/>
      <c r="D23" s="27"/>
      <c r="E23" s="27"/>
      <c r="F23" s="27"/>
      <c r="G23" s="27"/>
      <c r="H23" s="27"/>
      <c r="I23" s="27"/>
      <c r="J23" s="27"/>
      <c r="K23" s="27"/>
      <c r="L23" s="27"/>
      <c r="M23" s="27"/>
    </row>
    <row r="24" spans="1:13" s="17" customFormat="1">
      <c r="A24" s="17" t="s">
        <v>59</v>
      </c>
      <c r="B24" s="46">
        <v>65.7</v>
      </c>
      <c r="C24" s="27">
        <f t="shared" ref="C24:E24" si="6">SUM(C22:F22)</f>
        <v>70.259999999999977</v>
      </c>
      <c r="D24" s="27">
        <f t="shared" si="6"/>
        <v>62.424999999999983</v>
      </c>
      <c r="E24" s="27">
        <f t="shared" si="6"/>
        <v>55.498999999999974</v>
      </c>
      <c r="F24" s="27">
        <f>SUM(F22:I22)</f>
        <v>55.885000000000026</v>
      </c>
      <c r="G24" s="27">
        <f>SUM(G22:J22)</f>
        <v>59.863000000000028</v>
      </c>
      <c r="H24" s="27">
        <f>SUM(H22:K22)</f>
        <v>63.064000000000028</v>
      </c>
      <c r="I24" s="27">
        <f>SUM(I22:L22)</f>
        <v>65.635000000000048</v>
      </c>
      <c r="J24" s="27"/>
      <c r="K24" s="27"/>
      <c r="L24" s="27"/>
      <c r="M24" s="27"/>
    </row>
    <row r="25" spans="1:13" s="24" customFormat="1">
      <c r="A25" s="19" t="s">
        <v>60</v>
      </c>
      <c r="B25" s="28">
        <v>0</v>
      </c>
      <c r="C25" s="28">
        <v>0</v>
      </c>
      <c r="D25" s="28">
        <v>0</v>
      </c>
      <c r="E25" s="28">
        <v>0</v>
      </c>
      <c r="F25" s="28">
        <v>0</v>
      </c>
      <c r="G25" s="28">
        <v>0</v>
      </c>
      <c r="H25" s="28">
        <v>0</v>
      </c>
      <c r="I25" s="28">
        <v>0</v>
      </c>
      <c r="J25" s="28"/>
      <c r="K25" s="28"/>
      <c r="L25" s="28"/>
      <c r="M25" s="28"/>
    </row>
    <row r="26" spans="1:13" s="24" customFormat="1">
      <c r="A26" s="19" t="s">
        <v>61</v>
      </c>
      <c r="B26" s="29">
        <v>0</v>
      </c>
      <c r="C26" s="29">
        <v>0</v>
      </c>
      <c r="D26" s="29">
        <v>0</v>
      </c>
      <c r="E26" s="29">
        <v>0</v>
      </c>
      <c r="F26" s="29">
        <v>0</v>
      </c>
      <c r="G26" s="29">
        <v>0</v>
      </c>
      <c r="H26" s="29">
        <v>0</v>
      </c>
      <c r="I26" s="29">
        <v>0</v>
      </c>
      <c r="J26" s="29"/>
      <c r="K26" s="30"/>
      <c r="L26" s="30"/>
      <c r="M26" s="30"/>
    </row>
    <row r="27" spans="1:13" s="32" customFormat="1">
      <c r="A27" s="17" t="s">
        <v>62</v>
      </c>
      <c r="B27" s="27">
        <f t="shared" ref="B27:E27" si="7">SUM(B24:B26)</f>
        <v>65.7</v>
      </c>
      <c r="C27" s="27">
        <f t="shared" si="7"/>
        <v>70.259999999999977</v>
      </c>
      <c r="D27" s="27">
        <f t="shared" si="7"/>
        <v>62.424999999999983</v>
      </c>
      <c r="E27" s="27">
        <f t="shared" si="7"/>
        <v>55.498999999999974</v>
      </c>
      <c r="F27" s="27">
        <f>SUM(F24:F26)</f>
        <v>55.885000000000026</v>
      </c>
      <c r="G27" s="27">
        <f>SUM(G24:G26)</f>
        <v>59.863000000000028</v>
      </c>
      <c r="H27" s="27">
        <f>SUM(H24:H26)</f>
        <v>63.064000000000028</v>
      </c>
      <c r="I27" s="27">
        <f>SUM(I24:I26)</f>
        <v>65.635000000000048</v>
      </c>
      <c r="J27" s="27"/>
      <c r="K27" s="31"/>
      <c r="L27" s="31"/>
      <c r="M27" s="31"/>
    </row>
    <row r="28" spans="1:13" s="24" customFormat="1"/>
    <row r="29" spans="1:13" s="17" customFormat="1">
      <c r="A29" s="17" t="s">
        <v>58</v>
      </c>
      <c r="B29" s="27">
        <f t="shared" ref="B29:L29" si="8">B22</f>
        <v>40.876000000000033</v>
      </c>
      <c r="C29" s="27">
        <f t="shared" si="8"/>
        <v>22.947999999999993</v>
      </c>
      <c r="D29" s="27">
        <f t="shared" si="8"/>
        <v>4.9570000000000025</v>
      </c>
      <c r="E29" s="27">
        <f t="shared" si="8"/>
        <v>-3.0810000000000279</v>
      </c>
      <c r="F29" s="27">
        <f t="shared" si="8"/>
        <v>45.436000000000007</v>
      </c>
      <c r="G29" s="27">
        <f t="shared" si="8"/>
        <v>15.113</v>
      </c>
      <c r="H29" s="27">
        <f t="shared" si="8"/>
        <v>-1.969000000000003</v>
      </c>
      <c r="I29" s="27">
        <f t="shared" si="8"/>
        <v>-2.6949999999999807</v>
      </c>
      <c r="J29" s="27">
        <f t="shared" si="8"/>
        <v>49.414000000000016</v>
      </c>
      <c r="K29" s="27">
        <f t="shared" si="8"/>
        <v>18.314</v>
      </c>
      <c r="L29" s="27">
        <f t="shared" si="8"/>
        <v>0.60200000000000031</v>
      </c>
      <c r="M29" s="27"/>
    </row>
    <row r="30" spans="1:13" s="33" customFormat="1">
      <c r="A30" s="20" t="s">
        <v>63</v>
      </c>
      <c r="B30" s="20">
        <f>-9.575</f>
        <v>-9.5749999999999993</v>
      </c>
      <c r="C30" s="20">
        <v>-8.266</v>
      </c>
      <c r="D30" s="20">
        <v>-7.4509999999999996</v>
      </c>
      <c r="E30" s="20">
        <f>-35.843-H30-G30-F30</f>
        <v>-11.743000000000006</v>
      </c>
      <c r="F30" s="20">
        <v>-9.1039999999999992</v>
      </c>
      <c r="G30" s="20">
        <v>-7.6109999999999998</v>
      </c>
      <c r="H30" s="20">
        <v>-7.3849999999999998</v>
      </c>
      <c r="I30" s="20">
        <v>0</v>
      </c>
      <c r="J30" s="20">
        <v>-7.7460000000000004</v>
      </c>
      <c r="K30" s="20">
        <v>-7.9690000000000003</v>
      </c>
      <c r="L30" s="20">
        <v>-7.9139999999999997</v>
      </c>
      <c r="M30" s="20"/>
    </row>
    <row r="31" spans="1:13" s="33" customFormat="1">
      <c r="A31" s="20" t="s">
        <v>64</v>
      </c>
      <c r="B31" s="20">
        <v>0</v>
      </c>
      <c r="C31" s="20">
        <v>0</v>
      </c>
      <c r="D31" s="20">
        <v>0</v>
      </c>
      <c r="E31" s="20">
        <v>0</v>
      </c>
      <c r="F31" s="20">
        <v>0</v>
      </c>
      <c r="G31" s="20">
        <v>0</v>
      </c>
      <c r="H31" s="20">
        <v>0</v>
      </c>
      <c r="I31" s="20">
        <v>0</v>
      </c>
      <c r="J31" s="20">
        <v>0</v>
      </c>
      <c r="K31" s="20">
        <v>0</v>
      </c>
      <c r="L31" s="20">
        <v>0</v>
      </c>
      <c r="M31" s="20"/>
    </row>
    <row r="32" spans="1:13" s="33" customFormat="1">
      <c r="A32" s="20" t="s">
        <v>65</v>
      </c>
      <c r="B32" s="20">
        <f>-4.085-0.002-1.441-0.057+2.547+0.335+0.049</f>
        <v>-2.6539999999999999</v>
      </c>
      <c r="C32" s="20">
        <f>-14.799-0.113+0.561-0.141+1.63-1.611+0.033</f>
        <v>-14.44</v>
      </c>
      <c r="D32" s="20">
        <f>0.651-0.276+0.382+0.241+0.791+0.245+0.273-0.138</f>
        <v>2.1690000000000005</v>
      </c>
      <c r="E32" s="20">
        <f>-0.497-0.22+0.44+4.335-5.24+0.162-0.064-H32-G32-F32</f>
        <v>16.599999999999994</v>
      </c>
      <c r="F32" s="20">
        <f>-2.457-0.385-1.398-2.177+1.559+0.369-0.012</f>
        <v>-4.5009999999999994</v>
      </c>
      <c r="G32" s="20">
        <f>SUM({-17.473;0.138;0.711;4.931;-3.038;-0.276;1.342;0.449})</f>
        <v>-13.215999999999998</v>
      </c>
      <c r="H32" s="20">
        <f>-0.365-0.01+0.724+1.784-2.03-0.707+1.107-0.47</f>
        <v>3.3000000000000251E-2</v>
      </c>
      <c r="I32" s="20">
        <f>2.133+0.383+1.199-2.963+4.192+0.04+0.05-0.064-L32-K32-J32</f>
        <v>14.129</v>
      </c>
      <c r="J32" s="20">
        <f>SUM({-1.947;-0.197;-2.051;-0.803;1.059;0.009;1.137;-0.002})</f>
        <v>-2.7949999999999999</v>
      </c>
      <c r="K32" s="20">
        <f>SUM({-13.834;0.131;0.778;3.859;-1.125;-0.429;1.212;0.009})</f>
        <v>-9.3989999999999991</v>
      </c>
      <c r="L32" s="20">
        <f>0.658+0.291+1.447-3.567+3.458-0.343+1.163-0.072</f>
        <v>3.0350000000000001</v>
      </c>
      <c r="M32" s="20"/>
    </row>
    <row r="33" spans="1:13" s="33" customFormat="1">
      <c r="A33" s="20" t="s">
        <v>66</v>
      </c>
      <c r="B33" s="20">
        <v>0</v>
      </c>
      <c r="C33" s="20">
        <v>0</v>
      </c>
      <c r="D33" s="20">
        <v>0</v>
      </c>
      <c r="E33" s="20">
        <v>0</v>
      </c>
      <c r="F33" s="20">
        <v>0</v>
      </c>
      <c r="G33" s="20">
        <v>0</v>
      </c>
      <c r="H33" s="20">
        <v>0</v>
      </c>
      <c r="I33" s="20">
        <v>0</v>
      </c>
      <c r="J33" s="20">
        <v>0</v>
      </c>
      <c r="K33" s="20">
        <v>0</v>
      </c>
      <c r="L33" s="20">
        <v>0</v>
      </c>
      <c r="M33" s="20"/>
    </row>
    <row r="34" spans="1:13" s="33" customFormat="1">
      <c r="A34" s="20" t="s">
        <v>57</v>
      </c>
      <c r="B34" s="29">
        <v>0</v>
      </c>
      <c r="C34" s="29">
        <v>0</v>
      </c>
      <c r="D34" s="29">
        <v>0</v>
      </c>
      <c r="E34" s="29">
        <v>0</v>
      </c>
      <c r="F34" s="29">
        <v>0</v>
      </c>
      <c r="G34" s="29">
        <v>0</v>
      </c>
      <c r="H34" s="29">
        <v>0</v>
      </c>
      <c r="I34" s="29">
        <v>0</v>
      </c>
      <c r="J34" s="29">
        <v>0</v>
      </c>
      <c r="K34" s="29">
        <v>0</v>
      </c>
      <c r="L34" s="29">
        <v>0</v>
      </c>
      <c r="M34" s="29"/>
    </row>
    <row r="35" spans="1:13" s="27" customFormat="1">
      <c r="A35" s="27" t="s">
        <v>67</v>
      </c>
      <c r="B35" s="27">
        <f>33.827</f>
        <v>33.826999999999998</v>
      </c>
      <c r="C35" s="27">
        <v>-7.1740000000000004</v>
      </c>
      <c r="D35" s="27">
        <v>-3.915</v>
      </c>
      <c r="E35" s="27">
        <v>6.7669999999999959</v>
      </c>
      <c r="F35" s="27">
        <v>34.493000000000002</v>
      </c>
      <c r="G35" s="27">
        <v>-6.6769999999999996</v>
      </c>
      <c r="H35" s="27">
        <v>-10.942</v>
      </c>
      <c r="I35" s="27">
        <v>2.8079999999999998</v>
      </c>
      <c r="J35" s="27">
        <v>39.988</v>
      </c>
      <c r="K35" s="27">
        <v>-0.13400000000000001</v>
      </c>
      <c r="L35" s="27">
        <v>-5.6920000000000002</v>
      </c>
    </row>
    <row r="36" spans="1:13" s="33" customFormat="1">
      <c r="A36" s="20" t="s">
        <v>68</v>
      </c>
      <c r="B36" s="29">
        <v>-8.5000000000000006E-2</v>
      </c>
      <c r="C36" s="29">
        <v>-0.39500000000000002</v>
      </c>
      <c r="D36" s="29">
        <v>-0.81799999999999995</v>
      </c>
      <c r="E36" s="29">
        <v>-0.86499999999999844</v>
      </c>
      <c r="F36" s="29">
        <v>-2.1520000000000001</v>
      </c>
      <c r="G36" s="29">
        <v>-2.23</v>
      </c>
      <c r="H36" s="29">
        <v>-7.4359999999999999</v>
      </c>
      <c r="I36" s="29">
        <v>-1.1880000000000006</v>
      </c>
      <c r="J36" s="29">
        <v>-2.4430000000000001</v>
      </c>
      <c r="K36" s="29">
        <v>-4.3609999999999998</v>
      </c>
      <c r="L36" s="29">
        <v>-3.613</v>
      </c>
      <c r="M36" s="29"/>
    </row>
    <row r="37" spans="1:13" s="27" customFormat="1">
      <c r="A37" s="27" t="s">
        <v>69</v>
      </c>
      <c r="B37" s="27">
        <f t="shared" ref="B37:E37" si="9">+B35+B36</f>
        <v>33.741999999999997</v>
      </c>
      <c r="C37" s="27">
        <f t="shared" si="9"/>
        <v>-7.5690000000000008</v>
      </c>
      <c r="D37" s="27">
        <f t="shared" si="9"/>
        <v>-4.7329999999999997</v>
      </c>
      <c r="E37" s="27">
        <f t="shared" si="9"/>
        <v>5.9019999999999975</v>
      </c>
      <c r="F37" s="27">
        <f>+F35+F36</f>
        <v>32.341000000000001</v>
      </c>
      <c r="G37" s="27">
        <f t="shared" ref="G37:L37" si="10">+G35+G36</f>
        <v>-8.907</v>
      </c>
      <c r="H37" s="27">
        <f t="shared" si="10"/>
        <v>-18.378</v>
      </c>
      <c r="I37" s="27">
        <f t="shared" si="10"/>
        <v>1.6199999999999992</v>
      </c>
      <c r="J37" s="27">
        <f t="shared" si="10"/>
        <v>37.545000000000002</v>
      </c>
      <c r="K37" s="27">
        <f t="shared" si="10"/>
        <v>-4.4950000000000001</v>
      </c>
      <c r="L37" s="27">
        <f t="shared" si="10"/>
        <v>-9.3049999999999997</v>
      </c>
    </row>
    <row r="39" spans="1:13" s="35" customFormat="1">
      <c r="A39" s="34" t="s">
        <v>70</v>
      </c>
      <c r="B39" s="20">
        <v>0</v>
      </c>
      <c r="C39" s="20">
        <v>0</v>
      </c>
      <c r="D39" s="20">
        <v>0</v>
      </c>
      <c r="E39" s="20">
        <v>0</v>
      </c>
      <c r="F39" s="20">
        <v>0</v>
      </c>
      <c r="G39" s="20">
        <v>0</v>
      </c>
      <c r="H39" s="20">
        <v>0</v>
      </c>
      <c r="I39" s="20">
        <v>0</v>
      </c>
      <c r="J39" s="20"/>
      <c r="K39" s="20"/>
      <c r="L39" s="20"/>
      <c r="M39" s="20"/>
    </row>
    <row r="40" spans="1:13" s="35" customFormat="1">
      <c r="A40" s="34" t="s">
        <v>71</v>
      </c>
      <c r="B40" s="20">
        <v>211.6</v>
      </c>
      <c r="C40" s="20">
        <v>421.12099999999998</v>
      </c>
      <c r="D40" s="20">
        <v>431.8</v>
      </c>
      <c r="E40" s="20">
        <v>432.7</v>
      </c>
      <c r="F40" s="20">
        <v>430.649</v>
      </c>
      <c r="G40" s="20">
        <v>451.2</v>
      </c>
      <c r="H40" s="20">
        <v>451.2</v>
      </c>
      <c r="I40" s="20">
        <v>451.2</v>
      </c>
      <c r="J40" s="20"/>
      <c r="K40" s="20"/>
      <c r="L40" s="20"/>
      <c r="M40" s="20"/>
    </row>
    <row r="41" spans="1:13" s="35" customFormat="1">
      <c r="A41" s="34" t="s">
        <v>72</v>
      </c>
      <c r="B41" s="20">
        <f>B39+B40+52.6</f>
        <v>264.2</v>
      </c>
      <c r="C41" s="20">
        <v>546.06600000000003</v>
      </c>
      <c r="D41" s="20">
        <v>536.91399999999999</v>
      </c>
      <c r="E41" s="20">
        <v>536.05399999999997</v>
      </c>
      <c r="F41" s="20">
        <v>543.08100000000002</v>
      </c>
      <c r="G41" s="20">
        <v>585.221</v>
      </c>
      <c r="H41" s="20">
        <v>573.88199999999995</v>
      </c>
      <c r="I41" s="20">
        <v>565.38199999999995</v>
      </c>
      <c r="J41" s="20"/>
      <c r="K41" s="20"/>
      <c r="L41" s="20"/>
      <c r="M41" s="20"/>
    </row>
    <row r="42" spans="1:13" s="35" customFormat="1">
      <c r="A42" s="34" t="s">
        <v>73</v>
      </c>
      <c r="B42" s="36">
        <v>0</v>
      </c>
      <c r="C42" s="36">
        <v>0</v>
      </c>
      <c r="D42" s="36">
        <v>0</v>
      </c>
      <c r="E42" s="36">
        <v>0</v>
      </c>
      <c r="F42" s="36">
        <v>0</v>
      </c>
      <c r="G42" s="36">
        <v>0</v>
      </c>
      <c r="H42" s="36">
        <v>0</v>
      </c>
      <c r="I42" s="36">
        <v>0</v>
      </c>
      <c r="J42" s="36"/>
      <c r="K42" s="36"/>
      <c r="L42" s="36"/>
      <c r="M42" s="36"/>
    </row>
    <row r="43" spans="1:13">
      <c r="B43" s="35"/>
      <c r="C43" s="35"/>
      <c r="D43" s="35"/>
      <c r="E43" s="35"/>
      <c r="F43" s="35"/>
      <c r="G43" s="35"/>
      <c r="H43" s="35"/>
    </row>
    <row r="44" spans="1:13">
      <c r="A44" s="19" t="s">
        <v>74</v>
      </c>
      <c r="B44" s="28">
        <v>5.0999999999999996</v>
      </c>
      <c r="C44" s="28">
        <v>1.143</v>
      </c>
      <c r="D44" s="28">
        <v>1.86</v>
      </c>
      <c r="E44" s="28">
        <v>0.91200000000000003</v>
      </c>
      <c r="F44" s="28">
        <v>0.86699999999999999</v>
      </c>
      <c r="G44" s="28">
        <v>1.4410000000000001</v>
      </c>
      <c r="H44" s="28">
        <v>1.3560000000000001</v>
      </c>
      <c r="I44" s="28">
        <v>1.0740000000000001</v>
      </c>
      <c r="J44" s="28"/>
      <c r="K44" s="28"/>
      <c r="L44" s="28"/>
      <c r="M44" s="28"/>
    </row>
    <row r="45" spans="1:13">
      <c r="C45" s="33"/>
    </row>
    <row r="46" spans="1:13">
      <c r="A46" s="14" t="s">
        <v>75</v>
      </c>
      <c r="B46" s="33">
        <f>B47*C46/C47</f>
        <v>105.09745516652436</v>
      </c>
      <c r="C46" s="33">
        <f t="shared" ref="C46:E46" si="11">SUM(C12:F12)</f>
        <v>180.98399999999998</v>
      </c>
      <c r="D46" s="33">
        <f t="shared" si="11"/>
        <v>182.38499999999999</v>
      </c>
      <c r="E46" s="33">
        <f t="shared" si="11"/>
        <v>157.88</v>
      </c>
      <c r="F46" s="33">
        <f>SUM(F12:I12)</f>
        <v>150.36200000000002</v>
      </c>
      <c r="G46" s="33">
        <f>SUM(G12:J12)</f>
        <v>152.14100000000002</v>
      </c>
      <c r="H46" s="33">
        <f>SUM(H12:K12)</f>
        <v>151.22800000000001</v>
      </c>
      <c r="I46" s="33">
        <f>SUM(I12:L12)</f>
        <v>151.76000000000002</v>
      </c>
      <c r="J46" s="33">
        <f>SUM(J12:M12)</f>
        <v>140.71</v>
      </c>
    </row>
    <row r="47" spans="1:13">
      <c r="A47" s="14" t="s">
        <v>76</v>
      </c>
      <c r="B47" s="51">
        <v>40.799999999999997</v>
      </c>
      <c r="C47" s="33">
        <f t="shared" ref="C47:E47" si="12">+C27</f>
        <v>70.259999999999977</v>
      </c>
      <c r="D47" s="33">
        <f t="shared" si="12"/>
        <v>62.424999999999983</v>
      </c>
      <c r="E47" s="33">
        <f t="shared" si="12"/>
        <v>55.498999999999974</v>
      </c>
      <c r="F47" s="33">
        <f>+F27</f>
        <v>55.885000000000026</v>
      </c>
      <c r="G47" s="33">
        <f>+G27</f>
        <v>59.863000000000028</v>
      </c>
      <c r="H47" s="33">
        <f>+H27</f>
        <v>63.064000000000028</v>
      </c>
      <c r="I47" s="33">
        <f>+I27</f>
        <v>65.635000000000048</v>
      </c>
      <c r="J47" s="33">
        <f>+J27</f>
        <v>0</v>
      </c>
    </row>
    <row r="48" spans="1:13">
      <c r="A48" s="14" t="s">
        <v>77</v>
      </c>
      <c r="B48" s="33">
        <f t="shared" ref="B48:E48" si="13">+SUM(B37:E37)</f>
        <v>27.341999999999992</v>
      </c>
      <c r="C48" s="33">
        <f t="shared" si="13"/>
        <v>25.940999999999999</v>
      </c>
      <c r="D48" s="33">
        <f t="shared" si="13"/>
        <v>24.602999999999998</v>
      </c>
      <c r="E48" s="33">
        <f t="shared" si="13"/>
        <v>10.957999999999995</v>
      </c>
      <c r="F48" s="33">
        <f>+SUM(F37:I37)</f>
        <v>6.6760000000000002</v>
      </c>
      <c r="G48" s="33">
        <f>+SUM(G37:J37)</f>
        <v>11.880000000000003</v>
      </c>
      <c r="H48" s="33">
        <f>+SUM(H37:K37)</f>
        <v>16.291999999999998</v>
      </c>
      <c r="I48" s="33">
        <f>+SUM(I37:L37)</f>
        <v>25.365000000000002</v>
      </c>
      <c r="J48" s="33">
        <f>+SUM(J37:M37)</f>
        <v>23.745000000000005</v>
      </c>
    </row>
    <row r="50" spans="1:13" s="37" customFormat="1">
      <c r="A50" s="37" t="s">
        <v>78</v>
      </c>
      <c r="B50" s="37">
        <f t="shared" ref="B50:E50" si="14">+SUM(B39:B40)/B47</f>
        <v>5.1862745098039218</v>
      </c>
      <c r="C50" s="37">
        <f t="shared" si="14"/>
        <v>5.9937517791061792</v>
      </c>
      <c r="D50" s="37">
        <f t="shared" si="14"/>
        <v>6.9171005206247518</v>
      </c>
      <c r="E50" s="37">
        <f t="shared" si="14"/>
        <v>7.7965368745382833</v>
      </c>
      <c r="F50" s="37">
        <f>+SUM(F39:F40)/F47</f>
        <v>7.7059855059497142</v>
      </c>
      <c r="G50" s="37">
        <f>+SUM(G39:G40)/G47</f>
        <v>7.5372099627482712</v>
      </c>
      <c r="H50" s="37">
        <f>+SUM(H39:H40)/H47</f>
        <v>7.1546365596853958</v>
      </c>
      <c r="I50" s="37">
        <f>+SUM(I39:I40)/I47</f>
        <v>6.8743810466976409</v>
      </c>
    </row>
    <row r="51" spans="1:13" s="37" customFormat="1">
      <c r="A51" s="37" t="s">
        <v>79</v>
      </c>
      <c r="B51" s="37">
        <f t="shared" ref="B51:E51" si="15">+B41/B47</f>
        <v>6.4754901960784315</v>
      </c>
      <c r="C51" s="37">
        <f t="shared" si="15"/>
        <v>7.7720751494449223</v>
      </c>
      <c r="D51" s="37">
        <f t="shared" si="15"/>
        <v>8.6009451341609946</v>
      </c>
      <c r="E51" s="37">
        <f t="shared" si="15"/>
        <v>9.6588046631470874</v>
      </c>
      <c r="F51" s="37">
        <f>+F41/F47</f>
        <v>9.717831260624493</v>
      </c>
      <c r="G51" s="37">
        <f>+G41/G47</f>
        <v>9.7760052119005021</v>
      </c>
      <c r="H51" s="37">
        <f>+H41/H47</f>
        <v>9.0999936572370874</v>
      </c>
      <c r="I51" s="37">
        <f>+I41/I47</f>
        <v>8.6140321474822805</v>
      </c>
    </row>
    <row r="52" spans="1:13" s="37" customFormat="1">
      <c r="A52" s="37" t="s">
        <v>80</v>
      </c>
      <c r="B52" s="37">
        <f t="shared" ref="B52:E52" si="16">+(B41-B44)/B47</f>
        <v>6.3504901960784306</v>
      </c>
      <c r="C52" s="37">
        <f t="shared" si="16"/>
        <v>7.7558070025619159</v>
      </c>
      <c r="D52" s="37">
        <f t="shared" si="16"/>
        <v>8.5711493792551074</v>
      </c>
      <c r="E52" s="37">
        <f t="shared" si="16"/>
        <v>9.6423719346294554</v>
      </c>
      <c r="F52" s="37">
        <f>+(F41-F44)/F47</f>
        <v>9.7023172586561657</v>
      </c>
      <c r="G52" s="37">
        <f>+(G41-G44)/G47</f>
        <v>9.7519335816781609</v>
      </c>
      <c r="H52" s="37">
        <f>+(H41-H44)/H47</f>
        <v>9.0784916909805862</v>
      </c>
      <c r="I52" s="37">
        <f>+(I41-I44)/I47</f>
        <v>8.5976689266397432</v>
      </c>
    </row>
    <row r="53" spans="1:13" s="38" customFormat="1">
      <c r="A53" s="38" t="s">
        <v>81</v>
      </c>
      <c r="B53" s="38">
        <f t="shared" ref="B53:E53" si="17">+B48/B41</f>
        <v>0.10348978046934137</v>
      </c>
      <c r="C53" s="38">
        <f t="shared" si="17"/>
        <v>4.7505246618540609E-2</v>
      </c>
      <c r="D53" s="38">
        <f t="shared" si="17"/>
        <v>4.5822980961569261E-2</v>
      </c>
      <c r="E53" s="38">
        <f t="shared" si="17"/>
        <v>2.0441970398504618E-2</v>
      </c>
      <c r="F53" s="38">
        <f>+F48/F41</f>
        <v>1.2292825563774095E-2</v>
      </c>
      <c r="G53" s="38">
        <f>+G48/G41</f>
        <v>2.030002340995966E-2</v>
      </c>
      <c r="H53" s="38">
        <f>+H48/H41</f>
        <v>2.8389111350416985E-2</v>
      </c>
      <c r="I53" s="38">
        <f>+I48/I41</f>
        <v>4.486347283783354E-2</v>
      </c>
    </row>
    <row r="54" spans="1:13" s="38" customFormat="1">
      <c r="A54" s="39" t="s">
        <v>82</v>
      </c>
      <c r="B54" s="40">
        <v>10.1</v>
      </c>
      <c r="C54" s="40">
        <v>10.1</v>
      </c>
      <c r="D54" s="40">
        <v>10.1</v>
      </c>
      <c r="E54" s="40">
        <v>10.1</v>
      </c>
      <c r="F54" s="40">
        <v>10.1</v>
      </c>
      <c r="G54" s="40">
        <v>10.1</v>
      </c>
      <c r="H54" s="40">
        <v>10.1</v>
      </c>
      <c r="I54" s="40">
        <v>10.1</v>
      </c>
      <c r="J54" s="40"/>
      <c r="K54" s="39"/>
      <c r="L54" s="39"/>
      <c r="M54" s="39"/>
    </row>
    <row r="55" spans="1:13" s="38" customFormat="1">
      <c r="A55" s="38" t="s">
        <v>83</v>
      </c>
      <c r="B55" s="41" t="str">
        <f t="shared" ref="B55:E55" si="18">IF(B42=0,IF(B54="","","*"&amp;TEXT(B54,"0.0x")),(B41+B42-B44)/B47)</f>
        <v>*10.1x</v>
      </c>
      <c r="C55" s="41" t="str">
        <f t="shared" si="18"/>
        <v>*10.1x</v>
      </c>
      <c r="D55" s="41" t="str">
        <f t="shared" si="18"/>
        <v>*10.1x</v>
      </c>
      <c r="E55" s="41" t="str">
        <f t="shared" si="18"/>
        <v>*10.1x</v>
      </c>
      <c r="F55" s="41" t="str">
        <f>IF(F42=0,IF(F54="","","*"&amp;TEXT(F54,"0.0x")),(F41+F42-F44)/F47)</f>
        <v>*10.1x</v>
      </c>
      <c r="G55" s="41" t="str">
        <f>IF(G42=0,IF(G54="","","*"&amp;TEXT(G54,"0.0x")),(G41+G42-G44)/G47)</f>
        <v>*10.1x</v>
      </c>
      <c r="H55" s="41" t="str">
        <f>IF(H42=0,IF(H54="","","*"&amp;TEXT(H54,"0.0x")),(H41+H42-H44)/H47)</f>
        <v>*10.1x</v>
      </c>
      <c r="I55" s="41" t="str">
        <f>IF(I42=0,IF(I54="","","*"&amp;TEXT(I54,"0.0x")),(I41+I42-I44)/I47)</f>
        <v>*10.1x</v>
      </c>
      <c r="J55" s="41"/>
      <c r="K55" s="41" t="str">
        <f>IF(K42=0,IF(K54="","",CONCATENATE("* ",K54,"x")),(K41+K42-K44)/K47)</f>
        <v/>
      </c>
      <c r="L55" s="41" t="str">
        <f>IF(L42=0,IF(L54="","",CONCATENATE("* ",L54,"x")),(L41+L42-L44)/L47)</f>
        <v/>
      </c>
      <c r="M55" s="41" t="str">
        <f>IF(M42=0,IF(M54="","",CONCATENATE("* ",M54,"x")),(M41+M42-M44)/M47)</f>
        <v/>
      </c>
    </row>
    <row r="56" spans="1:13">
      <c r="J56" s="42"/>
    </row>
    <row r="57" spans="1:13" ht="80.25" customHeight="1">
      <c r="A57" s="43" t="s">
        <v>84</v>
      </c>
      <c r="B57" s="44" t="s">
        <v>317</v>
      </c>
      <c r="C57" s="44"/>
      <c r="D57" s="44"/>
      <c r="E57" s="44"/>
      <c r="F57" s="44"/>
      <c r="G57" s="44"/>
      <c r="H57" s="44"/>
      <c r="I57" s="44"/>
      <c r="J57" s="44"/>
      <c r="K57" s="44"/>
      <c r="L57" s="44"/>
      <c r="M57" s="44"/>
    </row>
    <row r="58" spans="1:13">
      <c r="A58" s="45"/>
      <c r="B58" s="42"/>
      <c r="C58" s="42"/>
      <c r="D58" s="42"/>
      <c r="E58" s="42"/>
      <c r="F58" s="42"/>
    </row>
    <row r="59" spans="1:13">
      <c r="A59" s="45"/>
    </row>
  </sheetData>
  <pageMargins left="0.7" right="0.7" top="0.75" bottom="0.75" header="0.3" footer="0.3"/>
  <pageSetup orientation="portrait"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2:AB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8" width="10.6640625" style="14" customWidth="1"/>
    <col min="19" max="16384" width="9.109375" style="14"/>
  </cols>
  <sheetData>
    <row r="2" spans="1:25">
      <c r="A2" s="13" t="s">
        <v>44</v>
      </c>
      <c r="B2" s="14" t="s">
        <v>410</v>
      </c>
    </row>
    <row r="3" spans="1:25" s="16" customFormat="1">
      <c r="A3" s="15" t="s">
        <v>45</v>
      </c>
      <c r="B3" s="16" t="s">
        <v>135</v>
      </c>
    </row>
    <row r="4" spans="1:25">
      <c r="A4" s="13" t="s">
        <v>2</v>
      </c>
      <c r="B4" s="14" t="s">
        <v>493</v>
      </c>
    </row>
    <row r="5" spans="1:25">
      <c r="A5" s="13" t="s">
        <v>46</v>
      </c>
    </row>
    <row r="6" spans="1:25">
      <c r="A6" s="13" t="s">
        <v>47</v>
      </c>
      <c r="B6" s="14">
        <v>3</v>
      </c>
    </row>
    <row r="7" spans="1:25">
      <c r="A7" s="13" t="s">
        <v>48</v>
      </c>
      <c r="B7" s="14" t="s">
        <v>258</v>
      </c>
    </row>
    <row r="8" spans="1:25">
      <c r="A8" s="13" t="s">
        <v>347</v>
      </c>
      <c r="B8" s="14" t="s">
        <v>378</v>
      </c>
    </row>
    <row r="9" spans="1:25">
      <c r="A9" s="17"/>
    </row>
    <row r="10" spans="1:25">
      <c r="A10" s="17" t="s">
        <v>49</v>
      </c>
      <c r="B10" s="18">
        <v>44286</v>
      </c>
      <c r="C10" s="18">
        <v>44196</v>
      </c>
      <c r="D10" s="18">
        <v>44104</v>
      </c>
      <c r="E10" s="18">
        <v>44012</v>
      </c>
      <c r="F10" s="18">
        <v>43921</v>
      </c>
      <c r="G10" s="18">
        <v>43830</v>
      </c>
      <c r="H10" s="18">
        <v>43738</v>
      </c>
      <c r="I10" s="18">
        <v>43646</v>
      </c>
      <c r="J10" s="18">
        <v>43555</v>
      </c>
      <c r="K10" s="18">
        <v>43465</v>
      </c>
      <c r="L10" s="18">
        <v>43373</v>
      </c>
      <c r="M10" s="18">
        <f>EOMONTH(L10,-3)</f>
        <v>43281</v>
      </c>
      <c r="N10" s="18">
        <f t="shared" ref="N10:R10" si="0">EOMONTH(M10,-3)</f>
        <v>43190</v>
      </c>
      <c r="O10" s="18">
        <f t="shared" si="0"/>
        <v>43100</v>
      </c>
      <c r="P10" s="18">
        <f t="shared" si="0"/>
        <v>43008</v>
      </c>
      <c r="Q10" s="18">
        <f t="shared" si="0"/>
        <v>42916</v>
      </c>
      <c r="R10" s="18">
        <f t="shared" si="0"/>
        <v>42825</v>
      </c>
    </row>
    <row r="12" spans="1:25">
      <c r="A12" s="19" t="s">
        <v>50</v>
      </c>
      <c r="B12" s="20">
        <v>77</v>
      </c>
      <c r="C12" s="20">
        <v>90</v>
      </c>
      <c r="D12" s="20">
        <v>124.39999999999999</v>
      </c>
      <c r="E12" s="20">
        <v>103.9</v>
      </c>
      <c r="F12" s="20">
        <v>62.8</v>
      </c>
      <c r="G12" s="20">
        <v>74.3</v>
      </c>
      <c r="H12" s="20">
        <v>97.4</v>
      </c>
      <c r="I12" s="20">
        <v>93.999999999999986</v>
      </c>
      <c r="J12" s="20">
        <v>93.9</v>
      </c>
      <c r="K12" s="20">
        <v>94.2</v>
      </c>
      <c r="L12" s="20">
        <v>104.8</v>
      </c>
      <c r="M12" s="20">
        <v>86.2</v>
      </c>
      <c r="N12" s="20">
        <v>75.200000000000017</v>
      </c>
      <c r="O12" s="20">
        <v>105.7</v>
      </c>
      <c r="P12" s="20">
        <v>121.9</v>
      </c>
      <c r="Q12" s="20">
        <v>103.10000000000001</v>
      </c>
      <c r="R12" s="20">
        <v>77.999999999999986</v>
      </c>
    </row>
    <row r="13" spans="1:25" s="21" customFormat="1">
      <c r="A13" s="21" t="s">
        <v>51</v>
      </c>
      <c r="B13" s="21">
        <f t="shared" ref="B13:L13" si="1">+B12/F12-1</f>
        <v>0.22611464968152872</v>
      </c>
      <c r="C13" s="21">
        <f t="shared" si="1"/>
        <v>0.21130551816958287</v>
      </c>
      <c r="D13" s="21">
        <f t="shared" si="1"/>
        <v>0.2772073921971252</v>
      </c>
      <c r="E13" s="21">
        <f t="shared" si="1"/>
        <v>0.10531914893617045</v>
      </c>
      <c r="F13" s="21">
        <f t="shared" si="1"/>
        <v>-0.33120340788072422</v>
      </c>
      <c r="G13" s="21">
        <f t="shared" si="1"/>
        <v>-0.21125265392781323</v>
      </c>
      <c r="H13" s="21">
        <f t="shared" si="1"/>
        <v>-7.0610687022900631E-2</v>
      </c>
      <c r="I13" s="21">
        <f t="shared" si="1"/>
        <v>9.0487238979118034E-2</v>
      </c>
      <c r="J13" s="21">
        <f t="shared" si="1"/>
        <v>0.24867021276595724</v>
      </c>
      <c r="K13" s="21">
        <f t="shared" si="1"/>
        <v>-0.10879848628193001</v>
      </c>
      <c r="L13" s="21">
        <f t="shared" si="1"/>
        <v>-0.14027891714520102</v>
      </c>
      <c r="M13" s="21">
        <f t="shared" ref="M13:N13" si="2">+M12/Q12-1</f>
        <v>-0.16391852570320087</v>
      </c>
      <c r="N13" s="21">
        <f t="shared" si="2"/>
        <v>-3.5897435897435548E-2</v>
      </c>
      <c r="S13" s="14"/>
      <c r="T13" s="130"/>
      <c r="U13" s="14"/>
      <c r="V13" s="14"/>
      <c r="W13" s="14"/>
      <c r="X13" s="14"/>
      <c r="Y13" s="14"/>
    </row>
    <row r="14" spans="1:25"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c r="P14" s="22"/>
      <c r="Q14" s="22"/>
      <c r="R14" s="22"/>
    </row>
    <row r="15" spans="1:25">
      <c r="T15" s="130"/>
    </row>
    <row r="16" spans="1:25" s="17" customFormat="1">
      <c r="A16" s="25" t="s">
        <v>53</v>
      </c>
      <c r="B16" s="26">
        <v>46.699999999999996</v>
      </c>
      <c r="C16" s="26">
        <v>60.4</v>
      </c>
      <c r="D16" s="26">
        <v>95.1</v>
      </c>
      <c r="E16" s="26">
        <v>75.400000000000006</v>
      </c>
      <c r="F16" s="26">
        <v>35.019999999999996</v>
      </c>
      <c r="G16" s="26">
        <v>46.899999999999991</v>
      </c>
      <c r="H16" s="26">
        <v>68.899999999999991</v>
      </c>
      <c r="I16" s="26">
        <v>66.299999999999983</v>
      </c>
      <c r="J16" s="26">
        <v>65.7</v>
      </c>
      <c r="K16" s="26">
        <v>67.7</v>
      </c>
      <c r="L16" s="26">
        <v>75.5</v>
      </c>
      <c r="M16" s="26">
        <v>57.95</v>
      </c>
      <c r="N16" s="26">
        <v>46.350000000000016</v>
      </c>
      <c r="O16" s="26">
        <v>67.400000000000006</v>
      </c>
      <c r="P16" s="26">
        <v>86.4</v>
      </c>
      <c r="Q16" s="26">
        <v>67.2</v>
      </c>
      <c r="R16" s="26">
        <v>40.999999999999986</v>
      </c>
    </row>
    <row r="17" spans="1:22" s="21" customFormat="1">
      <c r="A17" s="21" t="s">
        <v>54</v>
      </c>
      <c r="B17" s="21">
        <f t="shared" ref="B17" si="3">+B16/B12</f>
        <v>0.60649350649350642</v>
      </c>
      <c r="C17" s="21">
        <f t="shared" ref="C17:D17" si="4">+C16/C12</f>
        <v>0.6711111111111111</v>
      </c>
      <c r="D17" s="21">
        <f t="shared" si="4"/>
        <v>0.76446945337620575</v>
      </c>
      <c r="E17" s="21">
        <f t="shared" ref="E17:F17" si="5">+E16/E12</f>
        <v>0.72569778633301252</v>
      </c>
      <c r="F17" s="21">
        <f t="shared" si="5"/>
        <v>0.55764331210191076</v>
      </c>
      <c r="G17" s="21">
        <f t="shared" ref="G17:L17" si="6">+G16/G12</f>
        <v>0.63122476446837139</v>
      </c>
      <c r="H17" s="21">
        <f t="shared" si="6"/>
        <v>0.70739219712525658</v>
      </c>
      <c r="I17" s="21">
        <f t="shared" si="6"/>
        <v>0.70531914893617009</v>
      </c>
      <c r="J17" s="21">
        <f t="shared" si="6"/>
        <v>0.69968051118210861</v>
      </c>
      <c r="K17" s="21">
        <f t="shared" si="6"/>
        <v>0.71868365180467098</v>
      </c>
      <c r="L17" s="21">
        <f t="shared" si="6"/>
        <v>0.72041984732824427</v>
      </c>
      <c r="M17" s="21">
        <f t="shared" ref="M17:R17" si="7">+M16/M12</f>
        <v>0.67227378190255227</v>
      </c>
      <c r="N17" s="21">
        <f t="shared" si="7"/>
        <v>0.61635638297872353</v>
      </c>
      <c r="O17" s="21">
        <f t="shared" si="7"/>
        <v>0.63765373699148542</v>
      </c>
      <c r="P17" s="21">
        <f t="shared" si="7"/>
        <v>0.70877768662838392</v>
      </c>
      <c r="Q17" s="21">
        <f t="shared" si="7"/>
        <v>0.6517943743937924</v>
      </c>
      <c r="R17" s="21">
        <f t="shared" si="7"/>
        <v>0.52564102564102555</v>
      </c>
    </row>
    <row r="18" spans="1:22" s="24" customFormat="1"/>
    <row r="19" spans="1:22"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row>
    <row r="20" spans="1:22"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row>
    <row r="21" spans="1:22"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row>
    <row r="22" spans="1:22" s="17" customFormat="1">
      <c r="A22" s="17" t="s">
        <v>58</v>
      </c>
      <c r="B22" s="27">
        <f t="shared" ref="B22" si="8">SUM(B16,B19:B21)</f>
        <v>46.699999999999996</v>
      </c>
      <c r="C22" s="27">
        <f t="shared" ref="C22:D22" si="9">SUM(C16,C19:C21)</f>
        <v>60.4</v>
      </c>
      <c r="D22" s="27">
        <f t="shared" si="9"/>
        <v>95.1</v>
      </c>
      <c r="E22" s="27">
        <f t="shared" ref="E22:F22" si="10">SUM(E16,E19:E21)</f>
        <v>75.400000000000006</v>
      </c>
      <c r="F22" s="27">
        <f t="shared" si="10"/>
        <v>35.019999999999996</v>
      </c>
      <c r="G22" s="27">
        <f t="shared" ref="G22:L22" si="11">SUM(G16,G19:G21)</f>
        <v>46.899999999999991</v>
      </c>
      <c r="H22" s="27">
        <f t="shared" si="11"/>
        <v>68.899999999999991</v>
      </c>
      <c r="I22" s="27">
        <f t="shared" si="11"/>
        <v>66.299999999999983</v>
      </c>
      <c r="J22" s="27">
        <f t="shared" si="11"/>
        <v>65.7</v>
      </c>
      <c r="K22" s="27">
        <f t="shared" si="11"/>
        <v>67.7</v>
      </c>
      <c r="L22" s="27">
        <f t="shared" si="11"/>
        <v>75.5</v>
      </c>
      <c r="M22" s="27">
        <f t="shared" ref="M22:R22" si="12">SUM(M16,M19:M21)</f>
        <v>57.95</v>
      </c>
      <c r="N22" s="27">
        <f t="shared" si="12"/>
        <v>46.350000000000016</v>
      </c>
      <c r="O22" s="27">
        <f t="shared" si="12"/>
        <v>67.400000000000006</v>
      </c>
      <c r="P22" s="27">
        <f t="shared" si="12"/>
        <v>86.4</v>
      </c>
      <c r="Q22" s="27">
        <f t="shared" si="12"/>
        <v>67.2</v>
      </c>
      <c r="R22" s="27">
        <f t="shared" si="12"/>
        <v>40.999999999999986</v>
      </c>
    </row>
    <row r="23" spans="1:22" s="17" customFormat="1">
      <c r="B23" s="21"/>
      <c r="C23" s="21"/>
      <c r="D23" s="21"/>
      <c r="E23" s="21"/>
      <c r="F23" s="21"/>
      <c r="G23" s="21"/>
      <c r="H23" s="21"/>
      <c r="I23" s="21"/>
      <c r="J23" s="21"/>
      <c r="K23" s="21"/>
      <c r="L23" s="21"/>
      <c r="M23" s="27"/>
      <c r="N23" s="27"/>
      <c r="O23" s="27"/>
      <c r="P23" s="27"/>
      <c r="Q23" s="27"/>
      <c r="R23" s="27"/>
    </row>
    <row r="24" spans="1:22" s="17" customFormat="1">
      <c r="A24" s="17" t="s">
        <v>59</v>
      </c>
      <c r="B24" s="65">
        <f t="shared" ref="B24:J24" si="13">SUM(B22:E22)</f>
        <v>277.60000000000002</v>
      </c>
      <c r="C24" s="65">
        <f t="shared" si="13"/>
        <v>265.92</v>
      </c>
      <c r="D24" s="65">
        <f t="shared" si="13"/>
        <v>252.41999999999996</v>
      </c>
      <c r="E24" s="65">
        <f t="shared" si="13"/>
        <v>226.21999999999997</v>
      </c>
      <c r="F24" s="65">
        <f t="shared" si="13"/>
        <v>217.11999999999998</v>
      </c>
      <c r="G24" s="65">
        <f t="shared" si="13"/>
        <v>247.79999999999995</v>
      </c>
      <c r="H24" s="65">
        <f t="shared" si="13"/>
        <v>268.59999999999997</v>
      </c>
      <c r="I24" s="65">
        <f t="shared" si="13"/>
        <v>275.2</v>
      </c>
      <c r="J24" s="65">
        <f t="shared" si="13"/>
        <v>266.85000000000002</v>
      </c>
      <c r="K24" s="46">
        <v>243</v>
      </c>
      <c r="L24" s="46">
        <v>229.1</v>
      </c>
      <c r="M24" s="46">
        <v>218.7</v>
      </c>
      <c r="N24" s="27">
        <f t="shared" ref="N24:O24" si="14">SUM(N22:Q22)</f>
        <v>267.35000000000002</v>
      </c>
      <c r="O24" s="27">
        <f t="shared" si="14"/>
        <v>262</v>
      </c>
      <c r="P24" s="27"/>
      <c r="Q24" s="27"/>
      <c r="R24" s="27"/>
    </row>
    <row r="25" spans="1:22" s="24" customFormat="1">
      <c r="A25" s="19" t="s">
        <v>60</v>
      </c>
      <c r="B25" s="28">
        <v>0</v>
      </c>
      <c r="C25" s="28">
        <v>0</v>
      </c>
      <c r="D25" s="28">
        <v>0</v>
      </c>
      <c r="E25" s="28">
        <v>0</v>
      </c>
      <c r="F25" s="28">
        <v>0</v>
      </c>
      <c r="G25" s="28">
        <v>0</v>
      </c>
      <c r="H25" s="28">
        <v>0</v>
      </c>
      <c r="I25" s="28">
        <v>0</v>
      </c>
      <c r="J25" s="28">
        <v>0</v>
      </c>
      <c r="K25" s="28">
        <v>0</v>
      </c>
      <c r="L25" s="28">
        <v>0</v>
      </c>
      <c r="M25" s="28">
        <v>0</v>
      </c>
      <c r="N25" s="28">
        <v>0</v>
      </c>
      <c r="O25" s="28">
        <v>0</v>
      </c>
      <c r="P25" s="28"/>
      <c r="Q25" s="28"/>
      <c r="R25" s="28"/>
      <c r="U25" s="88"/>
      <c r="V25" s="88"/>
    </row>
    <row r="26" spans="1:22" s="24" customFormat="1">
      <c r="A26" s="19" t="s">
        <v>61</v>
      </c>
      <c r="B26" s="29">
        <v>0</v>
      </c>
      <c r="C26" s="29">
        <v>0</v>
      </c>
      <c r="D26" s="29">
        <v>0</v>
      </c>
      <c r="E26" s="29">
        <v>0</v>
      </c>
      <c r="F26" s="29">
        <v>0</v>
      </c>
      <c r="G26" s="29">
        <v>0</v>
      </c>
      <c r="H26" s="29">
        <v>0</v>
      </c>
      <c r="I26" s="29">
        <v>0</v>
      </c>
      <c r="J26" s="29">
        <v>0</v>
      </c>
      <c r="K26" s="29">
        <v>0</v>
      </c>
      <c r="L26" s="29">
        <v>0</v>
      </c>
      <c r="M26" s="29">
        <v>0</v>
      </c>
      <c r="N26" s="29">
        <v>0</v>
      </c>
      <c r="O26" s="29">
        <v>0</v>
      </c>
      <c r="P26" s="29"/>
      <c r="Q26" s="30"/>
      <c r="R26" s="30"/>
    </row>
    <row r="27" spans="1:22" s="32" customFormat="1">
      <c r="A27" s="17" t="s">
        <v>62</v>
      </c>
      <c r="B27" s="27">
        <f t="shared" ref="B27" si="15">SUM(B24:B26)</f>
        <v>277.60000000000002</v>
      </c>
      <c r="C27" s="27">
        <f t="shared" ref="C27:D27" si="16">SUM(C24:C26)</f>
        <v>265.92</v>
      </c>
      <c r="D27" s="27">
        <f t="shared" si="16"/>
        <v>252.41999999999996</v>
      </c>
      <c r="E27" s="27">
        <f t="shared" ref="E27:F27" si="17">SUM(E24:E26)</f>
        <v>226.21999999999997</v>
      </c>
      <c r="F27" s="27">
        <f t="shared" si="17"/>
        <v>217.11999999999998</v>
      </c>
      <c r="G27" s="27">
        <f t="shared" ref="G27:L27" si="18">SUM(G24:G26)</f>
        <v>247.79999999999995</v>
      </c>
      <c r="H27" s="27">
        <f t="shared" si="18"/>
        <v>268.59999999999997</v>
      </c>
      <c r="I27" s="27">
        <f t="shared" si="18"/>
        <v>275.2</v>
      </c>
      <c r="J27" s="27">
        <f t="shared" si="18"/>
        <v>266.85000000000002</v>
      </c>
      <c r="K27" s="27">
        <f t="shared" si="18"/>
        <v>243</v>
      </c>
      <c r="L27" s="27">
        <f t="shared" si="18"/>
        <v>229.1</v>
      </c>
      <c r="M27" s="27">
        <f t="shared" ref="M27:O27" si="19">SUM(M24:M26)</f>
        <v>218.7</v>
      </c>
      <c r="N27" s="27">
        <f t="shared" si="19"/>
        <v>267.35000000000002</v>
      </c>
      <c r="O27" s="27">
        <f t="shared" si="19"/>
        <v>262</v>
      </c>
      <c r="P27" s="27"/>
      <c r="Q27" s="31"/>
      <c r="R27" s="31"/>
      <c r="S27" s="24"/>
      <c r="T27" s="24"/>
    </row>
    <row r="28" spans="1:22" s="24" customFormat="1"/>
    <row r="29" spans="1:22" s="17" customFormat="1">
      <c r="A29" s="17" t="s">
        <v>58</v>
      </c>
      <c r="B29" s="27">
        <f t="shared" ref="B29" si="20">B22</f>
        <v>46.699999999999996</v>
      </c>
      <c r="C29" s="27">
        <f t="shared" ref="C29:D29" si="21">C22</f>
        <v>60.4</v>
      </c>
      <c r="D29" s="27">
        <f t="shared" si="21"/>
        <v>95.1</v>
      </c>
      <c r="E29" s="27">
        <f t="shared" ref="E29:F29" si="22">E22</f>
        <v>75.400000000000006</v>
      </c>
      <c r="F29" s="27">
        <f t="shared" si="22"/>
        <v>35.019999999999996</v>
      </c>
      <c r="G29" s="27">
        <f t="shared" ref="G29:I29" si="23">G22</f>
        <v>46.899999999999991</v>
      </c>
      <c r="H29" s="27">
        <f t="shared" si="23"/>
        <v>68.899999999999991</v>
      </c>
      <c r="I29" s="27">
        <f t="shared" si="23"/>
        <v>66.299999999999983</v>
      </c>
      <c r="J29" s="27">
        <f t="shared" ref="J29:R29" si="24">J22</f>
        <v>65.7</v>
      </c>
      <c r="K29" s="27">
        <f t="shared" si="24"/>
        <v>67.7</v>
      </c>
      <c r="L29" s="27">
        <f t="shared" si="24"/>
        <v>75.5</v>
      </c>
      <c r="M29" s="27">
        <f t="shared" si="24"/>
        <v>57.95</v>
      </c>
      <c r="N29" s="27">
        <f t="shared" si="24"/>
        <v>46.350000000000016</v>
      </c>
      <c r="O29" s="27">
        <f t="shared" si="24"/>
        <v>67.400000000000006</v>
      </c>
      <c r="P29" s="27">
        <f t="shared" si="24"/>
        <v>86.4</v>
      </c>
      <c r="Q29" s="27">
        <f t="shared" si="24"/>
        <v>67.2</v>
      </c>
      <c r="R29" s="27">
        <f t="shared" si="24"/>
        <v>40.999999999999986</v>
      </c>
    </row>
    <row r="30" spans="1:22" s="33" customFormat="1">
      <c r="A30" s="20" t="s">
        <v>63</v>
      </c>
      <c r="B30" s="20">
        <v>-17.323</v>
      </c>
      <c r="C30" s="20">
        <v>-17.7</v>
      </c>
      <c r="D30" s="20">
        <v>-18</v>
      </c>
      <c r="E30" s="20">
        <v>-17.3</v>
      </c>
      <c r="F30" s="20">
        <v>-17</v>
      </c>
      <c r="G30" s="20">
        <v>-17.399999999999999</v>
      </c>
      <c r="H30" s="20">
        <v>-18.445</v>
      </c>
      <c r="I30" s="20">
        <v>-16.893000000000001</v>
      </c>
      <c r="J30" s="20">
        <v>-15.600999999999999</v>
      </c>
      <c r="K30" s="20">
        <v>-16.354999999999993</v>
      </c>
      <c r="L30" s="20">
        <v>-14.15</v>
      </c>
      <c r="M30" s="20">
        <v>-22.783000000000001</v>
      </c>
      <c r="N30" s="20">
        <v>-21.788</v>
      </c>
      <c r="O30" s="20"/>
      <c r="P30" s="20"/>
      <c r="Q30" s="20"/>
      <c r="R30" s="20"/>
    </row>
    <row r="31" spans="1:22" s="33" customFormat="1">
      <c r="A31" s="20" t="s">
        <v>64</v>
      </c>
      <c r="B31" s="20">
        <v>0</v>
      </c>
      <c r="C31" s="20">
        <v>0</v>
      </c>
      <c r="D31" s="20">
        <v>0</v>
      </c>
      <c r="E31" s="20">
        <v>0</v>
      </c>
      <c r="F31" s="20">
        <v>0</v>
      </c>
      <c r="G31" s="20">
        <v>0</v>
      </c>
      <c r="H31" s="20">
        <v>0</v>
      </c>
      <c r="I31" s="20">
        <v>0</v>
      </c>
      <c r="J31" s="20">
        <v>0</v>
      </c>
      <c r="K31" s="20">
        <v>0</v>
      </c>
      <c r="L31" s="20">
        <v>0</v>
      </c>
      <c r="M31" s="20">
        <v>0</v>
      </c>
      <c r="N31" s="20">
        <v>0</v>
      </c>
      <c r="O31" s="20"/>
      <c r="P31" s="20"/>
      <c r="Q31" s="20"/>
      <c r="R31" s="20"/>
    </row>
    <row r="32" spans="1:22" s="33" customFormat="1">
      <c r="A32" s="20" t="s">
        <v>65</v>
      </c>
      <c r="B32" s="20">
        <v>-3.9</v>
      </c>
      <c r="C32" s="20">
        <v>5.6</v>
      </c>
      <c r="D32" s="20">
        <v>-0.3</v>
      </c>
      <c r="E32" s="20">
        <v>-6.1</v>
      </c>
      <c r="F32" s="20">
        <v>1.9</v>
      </c>
      <c r="G32" s="20">
        <v>3.1</v>
      </c>
      <c r="H32" s="20">
        <v>9.1999999999999993</v>
      </c>
      <c r="I32" s="20">
        <v>1.9</v>
      </c>
      <c r="J32" s="20">
        <v>-0.9</v>
      </c>
      <c r="K32" s="20">
        <v>2.5180000000000016</v>
      </c>
      <c r="L32" s="20">
        <v>5.0489999999999995</v>
      </c>
      <c r="M32" s="20">
        <v>-13.861000000000001</v>
      </c>
      <c r="N32" s="20">
        <v>-1.4470000000000003</v>
      </c>
      <c r="O32" s="20"/>
      <c r="P32" s="20"/>
      <c r="Q32" s="20"/>
      <c r="R32" s="20"/>
    </row>
    <row r="33" spans="1:28" s="33" customFormat="1">
      <c r="A33" s="20" t="s">
        <v>66</v>
      </c>
      <c r="B33" s="20">
        <v>0</v>
      </c>
      <c r="C33" s="20">
        <v>0</v>
      </c>
      <c r="D33" s="20">
        <v>0</v>
      </c>
      <c r="E33" s="20">
        <v>0</v>
      </c>
      <c r="F33" s="20">
        <v>0</v>
      </c>
      <c r="G33" s="20">
        <v>0</v>
      </c>
      <c r="H33" s="20">
        <v>0</v>
      </c>
      <c r="I33" s="20">
        <v>0</v>
      </c>
      <c r="J33" s="20">
        <v>0</v>
      </c>
      <c r="K33" s="20">
        <v>0</v>
      </c>
      <c r="L33" s="20">
        <v>0</v>
      </c>
      <c r="M33" s="20">
        <v>0</v>
      </c>
      <c r="N33" s="20">
        <v>0</v>
      </c>
      <c r="O33" s="20"/>
      <c r="P33" s="20"/>
      <c r="Q33" s="20"/>
      <c r="R33" s="20"/>
    </row>
    <row r="34" spans="1:28" s="33" customFormat="1">
      <c r="A34" s="20" t="s">
        <v>57</v>
      </c>
      <c r="B34" s="29">
        <v>0</v>
      </c>
      <c r="C34" s="29">
        <v>0</v>
      </c>
      <c r="D34" s="29">
        <v>0</v>
      </c>
      <c r="E34" s="29">
        <v>0</v>
      </c>
      <c r="F34" s="29">
        <v>0</v>
      </c>
      <c r="G34" s="29">
        <v>0</v>
      </c>
      <c r="H34" s="29">
        <v>0</v>
      </c>
      <c r="I34" s="29">
        <v>0</v>
      </c>
      <c r="J34" s="29">
        <v>0</v>
      </c>
      <c r="K34" s="29">
        <v>0</v>
      </c>
      <c r="L34" s="29">
        <v>0</v>
      </c>
      <c r="M34" s="29">
        <v>0</v>
      </c>
      <c r="N34" s="29">
        <v>0</v>
      </c>
      <c r="O34" s="29"/>
      <c r="P34" s="29"/>
      <c r="Q34" s="29"/>
      <c r="R34" s="29"/>
    </row>
    <row r="35" spans="1:28" s="27" customFormat="1">
      <c r="A35" s="27" t="s">
        <v>67</v>
      </c>
      <c r="B35" s="27">
        <f t="shared" ref="B35:N35" si="25">SUM(B29:B34)</f>
        <v>25.476999999999997</v>
      </c>
      <c r="C35" s="27">
        <f t="shared" si="25"/>
        <v>48.300000000000004</v>
      </c>
      <c r="D35" s="27">
        <f t="shared" si="25"/>
        <v>76.8</v>
      </c>
      <c r="E35" s="27">
        <f t="shared" si="25"/>
        <v>52.000000000000007</v>
      </c>
      <c r="F35" s="27">
        <f t="shared" si="25"/>
        <v>19.919999999999995</v>
      </c>
      <c r="G35" s="27">
        <f t="shared" si="25"/>
        <v>32.599999999999994</v>
      </c>
      <c r="H35" s="27">
        <f t="shared" si="25"/>
        <v>59.654999999999987</v>
      </c>
      <c r="I35" s="27">
        <f t="shared" si="25"/>
        <v>51.306999999999981</v>
      </c>
      <c r="J35" s="27">
        <f t="shared" si="25"/>
        <v>49.199000000000005</v>
      </c>
      <c r="K35" s="27">
        <f t="shared" si="25"/>
        <v>53.863000000000014</v>
      </c>
      <c r="L35" s="27">
        <f t="shared" si="25"/>
        <v>66.399000000000001</v>
      </c>
      <c r="M35" s="27">
        <f t="shared" si="25"/>
        <v>21.306000000000001</v>
      </c>
      <c r="N35" s="27">
        <f t="shared" si="25"/>
        <v>23.115000000000016</v>
      </c>
    </row>
    <row r="36" spans="1:28" s="33" customFormat="1">
      <c r="A36" s="20" t="s">
        <v>68</v>
      </c>
      <c r="B36" s="29">
        <v>-10.523999999999999</v>
      </c>
      <c r="C36" s="29">
        <v>-11.5</v>
      </c>
      <c r="D36" s="29">
        <v>-7.4</v>
      </c>
      <c r="E36" s="29">
        <v>-7.3</v>
      </c>
      <c r="F36" s="29">
        <v>-3.6</v>
      </c>
      <c r="G36" s="29">
        <v>-16.100000000000001</v>
      </c>
      <c r="H36" s="29">
        <v>-8</v>
      </c>
      <c r="I36" s="29">
        <v>-4.5999999999999996</v>
      </c>
      <c r="J36" s="29">
        <v>-3</v>
      </c>
      <c r="K36" s="29">
        <v>-3.5840000000000014</v>
      </c>
      <c r="L36" s="29">
        <v>-2.0680000000000001</v>
      </c>
      <c r="M36" s="29">
        <v>-4.6180000000000003</v>
      </c>
      <c r="N36" s="29">
        <v>-6.7050000000000001</v>
      </c>
      <c r="O36" s="29"/>
      <c r="P36" s="29"/>
      <c r="Q36" s="29"/>
      <c r="R36" s="29"/>
      <c r="AA36" s="27"/>
      <c r="AB36" s="27"/>
    </row>
    <row r="37" spans="1:28" s="27" customFormat="1">
      <c r="A37" s="27" t="s">
        <v>69</v>
      </c>
      <c r="B37" s="27">
        <f t="shared" ref="B37:N37" si="26">B35+B36</f>
        <v>14.952999999999998</v>
      </c>
      <c r="C37" s="27">
        <f t="shared" si="26"/>
        <v>36.800000000000004</v>
      </c>
      <c r="D37" s="27">
        <f t="shared" si="26"/>
        <v>69.399999999999991</v>
      </c>
      <c r="E37" s="27">
        <f t="shared" si="26"/>
        <v>44.70000000000001</v>
      </c>
      <c r="F37" s="27">
        <f t="shared" si="26"/>
        <v>16.319999999999993</v>
      </c>
      <c r="G37" s="27">
        <f t="shared" si="26"/>
        <v>16.499999999999993</v>
      </c>
      <c r="H37" s="27">
        <f t="shared" si="26"/>
        <v>51.654999999999987</v>
      </c>
      <c r="I37" s="27">
        <f t="shared" si="26"/>
        <v>46.706999999999979</v>
      </c>
      <c r="J37" s="27">
        <f t="shared" si="26"/>
        <v>46.199000000000005</v>
      </c>
      <c r="K37" s="27">
        <f t="shared" si="26"/>
        <v>50.279000000000011</v>
      </c>
      <c r="L37" s="27">
        <f t="shared" si="26"/>
        <v>64.331000000000003</v>
      </c>
      <c r="M37" s="27">
        <f t="shared" si="26"/>
        <v>16.688000000000002</v>
      </c>
      <c r="N37" s="27">
        <f t="shared" si="26"/>
        <v>16.410000000000018</v>
      </c>
    </row>
    <row r="38" spans="1:28">
      <c r="B38" s="33"/>
      <c r="C38" s="33"/>
      <c r="D38" s="33"/>
      <c r="E38" s="33"/>
      <c r="F38" s="33"/>
      <c r="G38" s="33"/>
      <c r="H38" s="33"/>
      <c r="I38" s="33"/>
      <c r="J38" s="33"/>
      <c r="K38" s="33"/>
      <c r="L38" s="33"/>
    </row>
    <row r="39" spans="1:28" s="35" customFormat="1">
      <c r="A39" s="34" t="s">
        <v>70</v>
      </c>
      <c r="B39" s="20">
        <v>0</v>
      </c>
      <c r="C39" s="20">
        <v>0</v>
      </c>
      <c r="D39" s="20">
        <v>0</v>
      </c>
      <c r="E39" s="20">
        <v>0</v>
      </c>
      <c r="F39" s="20">
        <v>0</v>
      </c>
      <c r="G39" s="20">
        <v>0</v>
      </c>
      <c r="H39" s="20">
        <v>0</v>
      </c>
      <c r="I39" s="20">
        <v>0</v>
      </c>
      <c r="J39" s="20">
        <v>0</v>
      </c>
      <c r="K39" s="20">
        <v>0</v>
      </c>
      <c r="L39" s="20">
        <v>0</v>
      </c>
      <c r="M39" s="20">
        <v>0</v>
      </c>
      <c r="N39" s="20">
        <v>0</v>
      </c>
      <c r="O39" s="20">
        <v>0</v>
      </c>
      <c r="P39" s="20"/>
      <c r="Q39" s="20"/>
      <c r="R39" s="20"/>
    </row>
    <row r="40" spans="1:28" s="35" customFormat="1">
      <c r="A40" s="34" t="s">
        <v>71</v>
      </c>
      <c r="B40" s="20">
        <v>1173.2</v>
      </c>
      <c r="C40" s="20">
        <v>1173.2</v>
      </c>
      <c r="D40" s="20">
        <v>1173.2</v>
      </c>
      <c r="E40" s="20">
        <v>1218.2</v>
      </c>
      <c r="F40" s="20">
        <v>1218.3</v>
      </c>
      <c r="G40" s="20">
        <v>1218.2</v>
      </c>
      <c r="H40" s="20">
        <v>1218.2</v>
      </c>
      <c r="I40" s="20">
        <v>1243.2</v>
      </c>
      <c r="J40" s="20">
        <v>1093.3</v>
      </c>
      <c r="K40" s="20">
        <v>1118.3</v>
      </c>
      <c r="L40" s="20">
        <v>1128.3</v>
      </c>
      <c r="M40" s="20">
        <v>929.5</v>
      </c>
      <c r="N40" s="20">
        <v>1611.4</v>
      </c>
      <c r="O40" s="20">
        <v>1624</v>
      </c>
      <c r="P40" s="20"/>
      <c r="Q40" s="20"/>
      <c r="R40" s="20"/>
    </row>
    <row r="41" spans="1:28" s="35" customFormat="1">
      <c r="A41" s="34" t="s">
        <v>72</v>
      </c>
      <c r="B41" s="20">
        <f t="shared" ref="B41:O41" si="27">B39+B40</f>
        <v>1173.2</v>
      </c>
      <c r="C41" s="20">
        <f t="shared" si="27"/>
        <v>1173.2</v>
      </c>
      <c r="D41" s="20">
        <f t="shared" si="27"/>
        <v>1173.2</v>
      </c>
      <c r="E41" s="20">
        <f t="shared" si="27"/>
        <v>1218.2</v>
      </c>
      <c r="F41" s="20">
        <f t="shared" si="27"/>
        <v>1218.3</v>
      </c>
      <c r="G41" s="20">
        <f t="shared" si="27"/>
        <v>1218.2</v>
      </c>
      <c r="H41" s="20">
        <f t="shared" si="27"/>
        <v>1218.2</v>
      </c>
      <c r="I41" s="20">
        <f t="shared" si="27"/>
        <v>1243.2</v>
      </c>
      <c r="J41" s="20">
        <f t="shared" si="27"/>
        <v>1093.3</v>
      </c>
      <c r="K41" s="20">
        <f t="shared" si="27"/>
        <v>1118.3</v>
      </c>
      <c r="L41" s="20">
        <f t="shared" si="27"/>
        <v>1128.3</v>
      </c>
      <c r="M41" s="20">
        <f t="shared" si="27"/>
        <v>929.5</v>
      </c>
      <c r="N41" s="20">
        <f t="shared" si="27"/>
        <v>1611.4</v>
      </c>
      <c r="O41" s="20">
        <f t="shared" si="27"/>
        <v>1624</v>
      </c>
      <c r="P41" s="20"/>
      <c r="Q41" s="20"/>
      <c r="R41" s="20"/>
      <c r="T41" s="33"/>
    </row>
    <row r="42" spans="1:28" s="35" customFormat="1">
      <c r="A42" s="34" t="s">
        <v>73</v>
      </c>
      <c r="B42" s="36">
        <v>0</v>
      </c>
      <c r="C42" s="36">
        <v>0</v>
      </c>
      <c r="D42" s="36">
        <v>0</v>
      </c>
      <c r="E42" s="36">
        <v>0</v>
      </c>
      <c r="F42" s="36">
        <v>0</v>
      </c>
      <c r="G42" s="36">
        <v>0</v>
      </c>
      <c r="H42" s="36">
        <v>0</v>
      </c>
      <c r="I42" s="36">
        <v>0</v>
      </c>
      <c r="J42" s="36">
        <v>0</v>
      </c>
      <c r="K42" s="36">
        <v>0</v>
      </c>
      <c r="L42" s="36">
        <v>0</v>
      </c>
      <c r="M42" s="36">
        <v>0</v>
      </c>
      <c r="N42" s="36">
        <v>0</v>
      </c>
      <c r="O42" s="36">
        <v>0</v>
      </c>
      <c r="P42" s="36"/>
      <c r="Q42" s="36"/>
      <c r="R42" s="36"/>
      <c r="T42" s="33"/>
    </row>
    <row r="43" spans="1:28">
      <c r="B43" s="35"/>
      <c r="C43" s="35"/>
      <c r="D43" s="35"/>
      <c r="E43" s="35"/>
      <c r="F43" s="35"/>
      <c r="G43" s="35"/>
      <c r="H43" s="35"/>
      <c r="I43" s="35"/>
      <c r="J43" s="35"/>
      <c r="K43" s="35"/>
      <c r="L43" s="35"/>
      <c r="M43" s="35"/>
      <c r="N43" s="35"/>
      <c r="T43" s="33"/>
    </row>
    <row r="44" spans="1:28">
      <c r="A44" s="19" t="s">
        <v>74</v>
      </c>
      <c r="B44" s="28">
        <v>8.1999999999999993</v>
      </c>
      <c r="C44" s="28">
        <v>33.9</v>
      </c>
      <c r="D44" s="28">
        <v>37.548000000000002</v>
      </c>
      <c r="E44" s="28">
        <v>51.5</v>
      </c>
      <c r="F44" s="28">
        <v>28.099999999999998</v>
      </c>
      <c r="G44" s="28">
        <v>40.099999999999994</v>
      </c>
      <c r="H44" s="28">
        <v>34.9</v>
      </c>
      <c r="I44" s="28">
        <v>18.399999999999999</v>
      </c>
      <c r="J44" s="28">
        <v>42.530999999999999</v>
      </c>
      <c r="K44" s="28">
        <v>31</v>
      </c>
      <c r="L44" s="28">
        <v>39.799999999999997</v>
      </c>
      <c r="M44" s="28">
        <v>33.1</v>
      </c>
      <c r="N44" s="28">
        <v>57.2</v>
      </c>
      <c r="O44" s="28">
        <v>51.6</v>
      </c>
      <c r="P44" s="28"/>
      <c r="Q44" s="28"/>
      <c r="R44" s="57"/>
    </row>
    <row r="46" spans="1:28">
      <c r="A46" s="14" t="s">
        <v>75</v>
      </c>
      <c r="B46" s="33">
        <f t="shared" ref="B46:L46" si="28">SUM(B12:E12)</f>
        <v>395.29999999999995</v>
      </c>
      <c r="C46" s="33">
        <f t="shared" si="28"/>
        <v>381.09999999999997</v>
      </c>
      <c r="D46" s="33">
        <f t="shared" si="28"/>
        <v>365.40000000000003</v>
      </c>
      <c r="E46" s="33">
        <f t="shared" si="28"/>
        <v>338.4</v>
      </c>
      <c r="F46" s="33">
        <f t="shared" si="28"/>
        <v>328.5</v>
      </c>
      <c r="G46" s="33">
        <f t="shared" si="28"/>
        <v>359.6</v>
      </c>
      <c r="H46" s="33">
        <f t="shared" si="28"/>
        <v>379.49999999999994</v>
      </c>
      <c r="I46" s="33">
        <f t="shared" si="28"/>
        <v>386.9</v>
      </c>
      <c r="J46" s="33">
        <f t="shared" si="28"/>
        <v>379.1</v>
      </c>
      <c r="K46" s="33">
        <f t="shared" si="28"/>
        <v>360.4</v>
      </c>
      <c r="L46" s="33">
        <f t="shared" si="28"/>
        <v>371.90000000000003</v>
      </c>
      <c r="M46" s="33">
        <f t="shared" ref="M46:O46" si="29">SUM(M12:P12)</f>
        <v>389</v>
      </c>
      <c r="N46" s="33">
        <f t="shared" si="29"/>
        <v>405.90000000000009</v>
      </c>
      <c r="O46" s="33">
        <f t="shared" si="29"/>
        <v>408.70000000000005</v>
      </c>
      <c r="P46" s="33"/>
    </row>
    <row r="47" spans="1:28">
      <c r="A47" s="14" t="s">
        <v>76</v>
      </c>
      <c r="B47" s="33">
        <f t="shared" ref="B47:C47" si="30">+B27</f>
        <v>277.60000000000002</v>
      </c>
      <c r="C47" s="33">
        <f t="shared" si="30"/>
        <v>265.92</v>
      </c>
      <c r="D47" s="33">
        <f t="shared" ref="D47:E47" si="31">+D27</f>
        <v>252.41999999999996</v>
      </c>
      <c r="E47" s="33">
        <f t="shared" si="31"/>
        <v>226.21999999999997</v>
      </c>
      <c r="F47" s="33">
        <f t="shared" ref="F47:G47" si="32">+F27</f>
        <v>217.11999999999998</v>
      </c>
      <c r="G47" s="33">
        <f t="shared" si="32"/>
        <v>247.79999999999995</v>
      </c>
      <c r="H47" s="33">
        <f t="shared" ref="H47:I47" si="33">+H27</f>
        <v>268.59999999999997</v>
      </c>
      <c r="I47" s="33">
        <f t="shared" si="33"/>
        <v>275.2</v>
      </c>
      <c r="J47" s="33">
        <f t="shared" ref="J47:O47" si="34">+J27</f>
        <v>266.85000000000002</v>
      </c>
      <c r="K47" s="33">
        <f t="shared" si="34"/>
        <v>243</v>
      </c>
      <c r="L47" s="33">
        <f t="shared" si="34"/>
        <v>229.1</v>
      </c>
      <c r="M47" s="33">
        <f t="shared" si="34"/>
        <v>218.7</v>
      </c>
      <c r="N47" s="33">
        <f t="shared" si="34"/>
        <v>267.35000000000002</v>
      </c>
      <c r="O47" s="33">
        <f t="shared" si="34"/>
        <v>262</v>
      </c>
      <c r="P47" s="33"/>
    </row>
    <row r="48" spans="1:28">
      <c r="A48" s="14" t="s">
        <v>77</v>
      </c>
      <c r="B48" s="33">
        <f t="shared" ref="B48:J48" si="35">SUM(B37:E37)</f>
        <v>165.85300000000001</v>
      </c>
      <c r="C48" s="33">
        <f t="shared" si="35"/>
        <v>167.22</v>
      </c>
      <c r="D48" s="33">
        <f t="shared" si="35"/>
        <v>146.91999999999999</v>
      </c>
      <c r="E48" s="33">
        <f t="shared" si="35"/>
        <v>129.17499999999998</v>
      </c>
      <c r="F48" s="33">
        <f t="shared" si="35"/>
        <v>131.18199999999996</v>
      </c>
      <c r="G48" s="33">
        <f t="shared" si="35"/>
        <v>161.06099999999995</v>
      </c>
      <c r="H48" s="33">
        <f t="shared" si="35"/>
        <v>194.83999999999997</v>
      </c>
      <c r="I48" s="33">
        <f t="shared" si="35"/>
        <v>207.51600000000002</v>
      </c>
      <c r="J48" s="33">
        <f t="shared" si="35"/>
        <v>177.49700000000001</v>
      </c>
      <c r="K48" s="33"/>
      <c r="L48" s="33"/>
      <c r="M48" s="33"/>
      <c r="N48" s="33"/>
      <c r="O48" s="33"/>
      <c r="P48" s="33"/>
    </row>
    <row r="50" spans="1:18" s="37" customFormat="1">
      <c r="A50" s="37" t="s">
        <v>78</v>
      </c>
      <c r="B50" s="37">
        <f t="shared" ref="B50" si="36">+SUM(B39:B40)/B47</f>
        <v>4.2262247838616709</v>
      </c>
      <c r="C50" s="37">
        <f t="shared" ref="C50:D50" si="37">+SUM(C39:C40)/C47</f>
        <v>4.4118531889290011</v>
      </c>
      <c r="D50" s="37">
        <f t="shared" si="37"/>
        <v>4.6478092068774277</v>
      </c>
      <c r="E50" s="37">
        <f t="shared" ref="E50:F50" si="38">+SUM(E39:E40)/E47</f>
        <v>5.3850234285209098</v>
      </c>
      <c r="F50" s="37">
        <f t="shared" si="38"/>
        <v>5.6111827560795877</v>
      </c>
      <c r="G50" s="37">
        <f t="shared" ref="G50:L50" si="39">+SUM(G39:G40)/G47</f>
        <v>4.9160613397901542</v>
      </c>
      <c r="H50" s="37">
        <f t="shared" si="39"/>
        <v>4.5353685778108721</v>
      </c>
      <c r="I50" s="37">
        <f t="shared" si="39"/>
        <v>4.5174418604651168</v>
      </c>
      <c r="J50" s="37">
        <f t="shared" si="39"/>
        <v>4.0970582724376987</v>
      </c>
      <c r="K50" s="37">
        <f t="shared" si="39"/>
        <v>4.6020576131687241</v>
      </c>
      <c r="L50" s="37">
        <f t="shared" si="39"/>
        <v>4.9249236141422958</v>
      </c>
      <c r="M50" s="37">
        <f t="shared" ref="M50:O50" si="40">+SUM(M39:M40)/M47</f>
        <v>4.2501143118427072</v>
      </c>
      <c r="N50" s="37">
        <f t="shared" si="40"/>
        <v>6.0273050308584253</v>
      </c>
      <c r="O50" s="37">
        <f t="shared" si="40"/>
        <v>6.1984732824427482</v>
      </c>
    </row>
    <row r="51" spans="1:18" s="37" customFormat="1">
      <c r="A51" s="37" t="s">
        <v>79</v>
      </c>
      <c r="B51" s="37">
        <f t="shared" ref="B51" si="41">+B41/B47</f>
        <v>4.2262247838616709</v>
      </c>
      <c r="C51" s="37">
        <f t="shared" ref="C51:D51" si="42">+C41/C47</f>
        <v>4.4118531889290011</v>
      </c>
      <c r="D51" s="37">
        <f t="shared" si="42"/>
        <v>4.6478092068774277</v>
      </c>
      <c r="E51" s="37">
        <f t="shared" ref="E51:F51" si="43">+E41/E47</f>
        <v>5.3850234285209098</v>
      </c>
      <c r="F51" s="37">
        <f t="shared" si="43"/>
        <v>5.6111827560795877</v>
      </c>
      <c r="G51" s="37">
        <f t="shared" ref="G51:L51" si="44">+G41/G47</f>
        <v>4.9160613397901542</v>
      </c>
      <c r="H51" s="37">
        <f t="shared" si="44"/>
        <v>4.5353685778108721</v>
      </c>
      <c r="I51" s="37">
        <f t="shared" si="44"/>
        <v>4.5174418604651168</v>
      </c>
      <c r="J51" s="37">
        <f t="shared" si="44"/>
        <v>4.0970582724376987</v>
      </c>
      <c r="K51" s="37">
        <f t="shared" si="44"/>
        <v>4.6020576131687241</v>
      </c>
      <c r="L51" s="37">
        <f t="shared" si="44"/>
        <v>4.9249236141422958</v>
      </c>
      <c r="M51" s="37">
        <f t="shared" ref="M51:O51" si="45">+M41/M47</f>
        <v>4.2501143118427072</v>
      </c>
      <c r="N51" s="37">
        <f t="shared" si="45"/>
        <v>6.0273050308584253</v>
      </c>
      <c r="O51" s="37">
        <f t="shared" si="45"/>
        <v>6.1984732824427482</v>
      </c>
    </row>
    <row r="52" spans="1:18" s="37" customFormat="1">
      <c r="A52" s="37" t="s">
        <v>80</v>
      </c>
      <c r="B52" s="37">
        <f t="shared" ref="B52" si="46">+(B41-B44)/B47</f>
        <v>4.1966858789625361</v>
      </c>
      <c r="C52" s="37">
        <f t="shared" ref="C52:D52" si="47">+(C41-C44)/C47</f>
        <v>4.2843712394705173</v>
      </c>
      <c r="D52" s="37">
        <f t="shared" si="47"/>
        <v>4.4990571270105386</v>
      </c>
      <c r="E52" s="37">
        <f t="shared" ref="E52:F52" si="48">+(E41-E44)/E47</f>
        <v>5.1573689328971808</v>
      </c>
      <c r="F52" s="37">
        <f t="shared" si="48"/>
        <v>5.4817612380250562</v>
      </c>
      <c r="G52" s="37">
        <f t="shared" ref="G52:L52" si="49">+(G41-G44)/G47</f>
        <v>4.7542372881355943</v>
      </c>
      <c r="H52" s="37">
        <f t="shared" si="49"/>
        <v>4.4054355919583026</v>
      </c>
      <c r="I52" s="37">
        <f t="shared" si="49"/>
        <v>4.4505813953488369</v>
      </c>
      <c r="J52" s="37">
        <f t="shared" si="49"/>
        <v>3.9376765973393288</v>
      </c>
      <c r="K52" s="37">
        <f t="shared" si="49"/>
        <v>4.4744855967078188</v>
      </c>
      <c r="L52" s="37">
        <f t="shared" si="49"/>
        <v>4.7512003491924926</v>
      </c>
      <c r="M52" s="37">
        <f t="shared" ref="M52:O52" si="50">+(M41-M44)/M47</f>
        <v>4.0987654320987659</v>
      </c>
      <c r="N52" s="37">
        <f t="shared" si="50"/>
        <v>5.8133532822143259</v>
      </c>
      <c r="O52" s="37">
        <f t="shared" si="50"/>
        <v>6.001526717557252</v>
      </c>
    </row>
    <row r="53" spans="1:18" s="38" customFormat="1">
      <c r="A53" s="38" t="s">
        <v>81</v>
      </c>
      <c r="B53" s="38">
        <f t="shared" ref="B53:C53" si="51">+B48/B41</f>
        <v>0.14136805318786225</v>
      </c>
      <c r="C53" s="38">
        <f t="shared" si="51"/>
        <v>0.14253324241391066</v>
      </c>
      <c r="D53" s="38">
        <f t="shared" ref="D53:E53" si="52">+D48/D41</f>
        <v>0.12523013978861233</v>
      </c>
      <c r="E53" s="38">
        <f t="shared" si="52"/>
        <v>0.10603759645378426</v>
      </c>
      <c r="F53" s="38">
        <f t="shared" ref="F53:G53" si="53">+F48/F41</f>
        <v>0.10767627021259128</v>
      </c>
      <c r="G53" s="38">
        <f t="shared" si="53"/>
        <v>0.13221228041372513</v>
      </c>
      <c r="H53" s="38">
        <f t="shared" ref="H53:J53" si="54">+H48/H41</f>
        <v>0.15994089640453124</v>
      </c>
      <c r="I53" s="38">
        <f t="shared" si="54"/>
        <v>0.16692084942084942</v>
      </c>
      <c r="J53" s="38">
        <f t="shared" si="54"/>
        <v>0.16234976676118176</v>
      </c>
    </row>
    <row r="54" spans="1:18" s="38" customFormat="1">
      <c r="A54" s="39" t="s">
        <v>82</v>
      </c>
      <c r="B54" s="40"/>
      <c r="C54" s="40"/>
      <c r="D54" s="40"/>
      <c r="E54" s="40"/>
      <c r="F54" s="40"/>
      <c r="G54" s="40"/>
      <c r="H54" s="40"/>
      <c r="I54" s="40"/>
      <c r="J54" s="40"/>
      <c r="K54" s="40"/>
      <c r="L54" s="40"/>
      <c r="M54" s="40"/>
      <c r="N54" s="40"/>
      <c r="O54" s="40"/>
      <c r="P54" s="40"/>
      <c r="Q54" s="39"/>
      <c r="R54" s="39"/>
    </row>
    <row r="55" spans="1:18" s="38" customFormat="1">
      <c r="A55" s="38" t="s">
        <v>83</v>
      </c>
      <c r="B55" s="41" t="str">
        <f t="shared" ref="B55" si="55">IF(B42=0,IF(B54="","","*"&amp;TEXT(B54,"0.0x")),(B41+B42-B44)/B47)</f>
        <v/>
      </c>
      <c r="C55" s="41" t="str">
        <f t="shared" ref="C55:D55" si="56">IF(C42=0,IF(C54="","","*"&amp;TEXT(C54,"0.0x")),(C41+C42-C44)/C47)</f>
        <v/>
      </c>
      <c r="D55" s="41" t="str">
        <f t="shared" si="56"/>
        <v/>
      </c>
      <c r="E55" s="41" t="str">
        <f t="shared" ref="E55:G55" si="57">IF(E42=0,IF(E54="","","*"&amp;TEXT(E54,"0.0x")),(E41+E42-E44)/E47)</f>
        <v/>
      </c>
      <c r="F55" s="41" t="str">
        <f t="shared" si="57"/>
        <v/>
      </c>
      <c r="G55" s="41" t="str">
        <f t="shared" si="57"/>
        <v/>
      </c>
      <c r="H55" s="41" t="str">
        <f t="shared" ref="H55:I55" si="58">IF(H42=0,IF(H54="","","*"&amp;TEXT(H54,"0.0x")),(H41+H42-H44)/H47)</f>
        <v/>
      </c>
      <c r="I55" s="41" t="str">
        <f t="shared" si="58"/>
        <v/>
      </c>
      <c r="J55" s="41" t="str">
        <f t="shared" ref="J55:O55" si="59">IF(J42=0,IF(J54="","","*"&amp;TEXT(J54,"0.0x")),(J41+J42-J44)/J47)</f>
        <v/>
      </c>
      <c r="K55" s="41" t="str">
        <f t="shared" si="59"/>
        <v/>
      </c>
      <c r="L55" s="41" t="str">
        <f t="shared" si="59"/>
        <v/>
      </c>
      <c r="M55" s="41" t="str">
        <f t="shared" si="59"/>
        <v/>
      </c>
      <c r="N55" s="41" t="str">
        <f t="shared" si="59"/>
        <v/>
      </c>
      <c r="O55" s="41" t="str">
        <f t="shared" si="59"/>
        <v/>
      </c>
      <c r="P55" s="41"/>
      <c r="Q55" s="41" t="str">
        <f t="shared" ref="Q55:R55" si="60">IF(Q42=0,IF(Q54="","",CONCATENATE("* ",Q54,"x")),(Q41+Q42-Q44)/Q47)</f>
        <v/>
      </c>
      <c r="R55" s="41" t="str">
        <f t="shared" si="60"/>
        <v/>
      </c>
    </row>
    <row r="56" spans="1:18">
      <c r="P56" s="42"/>
    </row>
    <row r="57" spans="1:18" ht="80.25" customHeight="1">
      <c r="A57" s="43" t="s">
        <v>84</v>
      </c>
      <c r="B57" s="44" t="s">
        <v>90</v>
      </c>
      <c r="C57" s="44" t="s">
        <v>90</v>
      </c>
      <c r="D57" s="44" t="s">
        <v>90</v>
      </c>
      <c r="E57" s="44" t="s">
        <v>289</v>
      </c>
      <c r="F57" s="44" t="s">
        <v>90</v>
      </c>
      <c r="G57" s="44" t="s">
        <v>90</v>
      </c>
      <c r="H57" s="44" t="s">
        <v>90</v>
      </c>
      <c r="I57" s="44" t="s">
        <v>90</v>
      </c>
      <c r="J57" s="44" t="s">
        <v>289</v>
      </c>
      <c r="K57" s="44" t="s">
        <v>90</v>
      </c>
      <c r="L57" s="44" t="s">
        <v>90</v>
      </c>
      <c r="M57" s="44" t="s">
        <v>90</v>
      </c>
      <c r="N57" s="44" t="s">
        <v>90</v>
      </c>
      <c r="O57" s="44" t="s">
        <v>90</v>
      </c>
      <c r="P57" s="44" t="s">
        <v>90</v>
      </c>
      <c r="Q57" s="44" t="s">
        <v>90</v>
      </c>
      <c r="R57" s="44" t="s">
        <v>90</v>
      </c>
    </row>
    <row r="58" spans="1:18">
      <c r="A58" s="45"/>
      <c r="B58" s="42"/>
      <c r="C58" s="42"/>
      <c r="D58" s="42"/>
      <c r="E58" s="42"/>
      <c r="F58" s="42"/>
      <c r="G58" s="42"/>
      <c r="H58" s="42"/>
      <c r="I58" s="42"/>
      <c r="J58" s="42"/>
      <c r="K58" s="42"/>
      <c r="L58" s="42"/>
    </row>
    <row r="59" spans="1:18">
      <c r="A59" s="45"/>
    </row>
  </sheetData>
  <pageMargins left="0.7" right="0.7" top="0.75" bottom="0.75" header="0.3" footer="0.3"/>
  <pageSetup orientation="portrait" r:id="rId1"/>
  <ignoredErrors>
    <ignoredError sqref="K46:O47 I46:J47 H46 F46:G48" formulaRange="1"/>
  </ignoredErrors>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2:AA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0" width="10.6640625" style="14" customWidth="1"/>
    <col min="11" max="24" width="10.6640625" style="14" hidden="1" customWidth="1"/>
    <col min="25" max="16384" width="9.109375" style="14"/>
  </cols>
  <sheetData>
    <row r="2" spans="1:27">
      <c r="A2" s="13" t="s">
        <v>44</v>
      </c>
      <c r="B2" s="14" t="s">
        <v>38</v>
      </c>
    </row>
    <row r="3" spans="1:27" s="16" customFormat="1">
      <c r="A3" s="15" t="s">
        <v>45</v>
      </c>
      <c r="B3" s="16" t="s">
        <v>95</v>
      </c>
    </row>
    <row r="4" spans="1:27">
      <c r="A4" s="13" t="s">
        <v>2</v>
      </c>
      <c r="B4" s="14" t="s">
        <v>4</v>
      </c>
    </row>
    <row r="5" spans="1:27">
      <c r="A5" s="13" t="s">
        <v>46</v>
      </c>
    </row>
    <row r="6" spans="1:27">
      <c r="A6" s="13" t="s">
        <v>47</v>
      </c>
      <c r="B6" s="14">
        <v>3</v>
      </c>
    </row>
    <row r="7" spans="1:27">
      <c r="A7" s="13" t="s">
        <v>48</v>
      </c>
      <c r="B7" s="14" t="s">
        <v>459</v>
      </c>
    </row>
    <row r="8" spans="1:27">
      <c r="A8" s="13" t="s">
        <v>347</v>
      </c>
      <c r="B8" s="14" t="s">
        <v>377</v>
      </c>
    </row>
    <row r="9" spans="1:27">
      <c r="A9" s="17"/>
    </row>
    <row r="10" spans="1:27">
      <c r="A10" s="17" t="s">
        <v>49</v>
      </c>
      <c r="B10" s="18">
        <v>44286</v>
      </c>
      <c r="C10" s="18">
        <v>44196</v>
      </c>
      <c r="D10" s="18">
        <v>44104</v>
      </c>
      <c r="E10" s="18">
        <v>44012</v>
      </c>
      <c r="F10" s="18">
        <v>43921</v>
      </c>
      <c r="G10" s="18">
        <v>43826</v>
      </c>
      <c r="H10" s="18">
        <v>43735</v>
      </c>
      <c r="I10" s="18">
        <v>43646</v>
      </c>
      <c r="J10" s="18">
        <v>43555</v>
      </c>
      <c r="K10" s="18">
        <v>43465</v>
      </c>
      <c r="L10" s="18">
        <v>43371</v>
      </c>
      <c r="M10" s="18">
        <v>43281</v>
      </c>
      <c r="N10" s="18">
        <v>43190</v>
      </c>
      <c r="O10" s="18">
        <v>43100</v>
      </c>
      <c r="P10" s="18">
        <v>43007</v>
      </c>
      <c r="Q10" s="18">
        <v>42916</v>
      </c>
      <c r="R10" s="18">
        <v>42825</v>
      </c>
      <c r="S10" s="18">
        <v>42735</v>
      </c>
      <c r="T10" s="18">
        <v>42643</v>
      </c>
      <c r="U10" s="18">
        <v>42551</v>
      </c>
      <c r="V10" s="18">
        <v>42460</v>
      </c>
      <c r="W10" s="18">
        <v>42369</v>
      </c>
      <c r="X10" s="18">
        <v>42277</v>
      </c>
    </row>
    <row r="11" spans="1:27">
      <c r="B11" s="33"/>
      <c r="C11" s="33"/>
      <c r="D11" s="33"/>
      <c r="J11" s="33"/>
      <c r="N11" s="33"/>
    </row>
    <row r="12" spans="1:27">
      <c r="A12" s="19" t="s">
        <v>50</v>
      </c>
      <c r="B12" s="20">
        <v>178.899</v>
      </c>
      <c r="C12" s="20">
        <v>182.95400000000001</v>
      </c>
      <c r="D12" s="20">
        <v>178.31800000000001</v>
      </c>
      <c r="E12" s="20">
        <f>712.422-F12-G12-H12</f>
        <v>183.864</v>
      </c>
      <c r="F12" s="20">
        <v>181.73</v>
      </c>
      <c r="G12" s="20">
        <v>175.767</v>
      </c>
      <c r="H12" s="20">
        <v>171.06100000000001</v>
      </c>
      <c r="I12" s="20">
        <f>691.777-J12-K12-L12</f>
        <v>183.20000000000002</v>
      </c>
      <c r="J12" s="20">
        <v>169.471</v>
      </c>
      <c r="K12" s="20">
        <v>174.26300000000003</v>
      </c>
      <c r="L12" s="20">
        <v>164.84299999999999</v>
      </c>
      <c r="M12" s="20">
        <f>588.782-N12-O12-P12</f>
        <v>157.88700000000006</v>
      </c>
      <c r="N12" s="20">
        <v>144.01</v>
      </c>
      <c r="O12" s="20">
        <v>139.839</v>
      </c>
      <c r="P12" s="20">
        <v>147.04599999999999</v>
      </c>
      <c r="Q12" s="20">
        <f>510.705+16.984-T12-S12-R12</f>
        <v>147.30299999999997</v>
      </c>
      <c r="R12" s="20">
        <v>128.72499999999999</v>
      </c>
      <c r="S12" s="20">
        <v>127.35599999999999</v>
      </c>
      <c r="T12" s="20">
        <v>124.30500000000001</v>
      </c>
      <c r="U12" s="20">
        <f>465.129-X12-W12-V12</f>
        <v>132.33100000000002</v>
      </c>
      <c r="V12" s="20">
        <v>121.253</v>
      </c>
      <c r="W12" s="20">
        <v>111.38200000000001</v>
      </c>
      <c r="X12" s="20">
        <v>100.163</v>
      </c>
      <c r="Z12" s="160"/>
    </row>
    <row r="13" spans="1:27" s="21" customFormat="1">
      <c r="A13" s="21" t="s">
        <v>51</v>
      </c>
      <c r="B13" s="21">
        <f t="shared" ref="B13:T13" si="0">+B12/F12-1</f>
        <v>-1.5578055356847975E-2</v>
      </c>
      <c r="C13" s="21">
        <f t="shared" si="0"/>
        <v>4.0889359208497789E-2</v>
      </c>
      <c r="D13" s="21">
        <f t="shared" si="0"/>
        <v>4.2423462975196058E-2</v>
      </c>
      <c r="E13" s="21">
        <f t="shared" si="0"/>
        <v>3.6244541484715675E-3</v>
      </c>
      <c r="F13" s="21">
        <f t="shared" si="0"/>
        <v>7.2336859993745062E-2</v>
      </c>
      <c r="G13" s="21">
        <f t="shared" si="0"/>
        <v>8.630633008728017E-3</v>
      </c>
      <c r="H13" s="21">
        <f t="shared" si="0"/>
        <v>3.77207403408093E-2</v>
      </c>
      <c r="I13" s="21">
        <f t="shared" si="0"/>
        <v>0.16032352251926985</v>
      </c>
      <c r="J13" s="21">
        <f t="shared" si="0"/>
        <v>0.17680022220679126</v>
      </c>
      <c r="K13" s="21">
        <f t="shared" si="0"/>
        <v>0.24616880841539235</v>
      </c>
      <c r="L13" s="21">
        <f t="shared" si="0"/>
        <v>0.12103015382941384</v>
      </c>
      <c r="M13" s="21">
        <f t="shared" si="0"/>
        <v>7.1851897110039031E-2</v>
      </c>
      <c r="N13" s="21">
        <f t="shared" si="0"/>
        <v>0.11874150320450561</v>
      </c>
      <c r="O13" s="21">
        <f t="shared" si="0"/>
        <v>9.8016583435409421E-2</v>
      </c>
      <c r="P13" s="21">
        <f t="shared" si="0"/>
        <v>0.18294517517396702</v>
      </c>
      <c r="Q13" s="21">
        <f t="shared" si="0"/>
        <v>0.11314053396407453</v>
      </c>
      <c r="R13" s="21">
        <f t="shared" si="0"/>
        <v>6.1623217569874544E-2</v>
      </c>
      <c r="S13" s="21">
        <f t="shared" si="0"/>
        <v>0.14341635093641703</v>
      </c>
      <c r="T13" s="21">
        <f t="shared" si="0"/>
        <v>0.24102712578497054</v>
      </c>
      <c r="Z13" s="33"/>
    </row>
    <row r="14" spans="1:27" s="24" customFormat="1">
      <c r="A14" s="22" t="s">
        <v>52</v>
      </c>
      <c r="B14" s="129">
        <f>-5.3/F12</f>
        <v>-2.9164144610135917E-2</v>
      </c>
      <c r="C14" s="129">
        <f>-5.6/G12</f>
        <v>-3.186036059100969E-2</v>
      </c>
      <c r="D14" s="129">
        <f>-13.5/H12</f>
        <v>-7.8919215952204178E-2</v>
      </c>
      <c r="E14" s="23" t="s">
        <v>3</v>
      </c>
      <c r="F14" s="129">
        <f>-9.4/J12</f>
        <v>-5.5466717019431053E-2</v>
      </c>
      <c r="G14" s="23" t="s">
        <v>3</v>
      </c>
      <c r="H14" s="23" t="s">
        <v>3</v>
      </c>
      <c r="I14" s="23" t="s">
        <v>3</v>
      </c>
      <c r="J14" s="23" t="s">
        <v>3</v>
      </c>
      <c r="K14" s="23" t="s">
        <v>3</v>
      </c>
      <c r="L14" s="23" t="s">
        <v>3</v>
      </c>
      <c r="M14" s="23" t="s">
        <v>3</v>
      </c>
      <c r="N14" s="23" t="s">
        <v>3</v>
      </c>
      <c r="O14" s="23" t="s">
        <v>3</v>
      </c>
      <c r="P14" s="23" t="s">
        <v>3</v>
      </c>
      <c r="Q14" s="23" t="s">
        <v>3</v>
      </c>
      <c r="R14" s="23" t="s">
        <v>3</v>
      </c>
      <c r="S14" s="23" t="s">
        <v>3</v>
      </c>
      <c r="T14" s="23" t="s">
        <v>3</v>
      </c>
      <c r="U14" s="22"/>
      <c r="V14" s="22"/>
      <c r="W14" s="22"/>
      <c r="X14" s="22"/>
    </row>
    <row r="15" spans="1:27">
      <c r="B15" s="126"/>
      <c r="C15" s="126"/>
      <c r="D15" s="126"/>
      <c r="E15" s="126"/>
      <c r="F15" s="126"/>
      <c r="G15" s="126"/>
      <c r="H15" s="126"/>
      <c r="I15" s="126"/>
      <c r="J15" s="126"/>
      <c r="N15" s="33"/>
    </row>
    <row r="16" spans="1:27" s="17" customFormat="1">
      <c r="A16" s="25" t="s">
        <v>53</v>
      </c>
      <c r="B16" s="26">
        <v>19.582999999999998</v>
      </c>
      <c r="C16" s="26">
        <v>25.138000000000002</v>
      </c>
      <c r="D16" s="26">
        <v>25.713999999999999</v>
      </c>
      <c r="E16" s="26">
        <f>70.439-F16-G16-H16</f>
        <v>24.643999999999991</v>
      </c>
      <c r="F16" s="26">
        <v>13.118</v>
      </c>
      <c r="G16" s="26">
        <v>15.336</v>
      </c>
      <c r="H16" s="26">
        <v>17.341000000000001</v>
      </c>
      <c r="I16" s="26">
        <f>74.717-J16-K16-L16</f>
        <v>23.315999999999995</v>
      </c>
      <c r="J16" s="26">
        <v>14.129</v>
      </c>
      <c r="K16" s="26">
        <v>19.672000000000001</v>
      </c>
      <c r="L16" s="26">
        <v>17.600000000000001</v>
      </c>
      <c r="M16" s="26">
        <f>63.668-N16-O16-P16</f>
        <v>22.003</v>
      </c>
      <c r="N16" s="26">
        <f>41.665-O16-P16</f>
        <v>11.168999999999997</v>
      </c>
      <c r="O16" s="26">
        <v>11.755000000000001</v>
      </c>
      <c r="P16" s="26">
        <v>18.741</v>
      </c>
      <c r="Q16" s="26">
        <f>Q22-Q21-Q20-Q19</f>
        <v>22.991</v>
      </c>
      <c r="R16" s="26">
        <v>13.807</v>
      </c>
      <c r="S16" s="26">
        <v>11.407</v>
      </c>
      <c r="T16" s="26">
        <v>10.5</v>
      </c>
      <c r="U16" s="26">
        <f>14.8-2.5</f>
        <v>12.3</v>
      </c>
      <c r="V16" s="26">
        <f>-18.2+24.5</f>
        <v>6.3000000000000007</v>
      </c>
      <c r="W16" s="26">
        <v>9.5</v>
      </c>
      <c r="X16" s="26">
        <v>9.9</v>
      </c>
      <c r="Y16" s="98"/>
      <c r="Z16" s="106"/>
      <c r="AA16" s="106"/>
    </row>
    <row r="17" spans="1:27" s="21" customFormat="1">
      <c r="A17" s="21" t="s">
        <v>54</v>
      </c>
      <c r="B17" s="21">
        <f t="shared" ref="B17:C17" si="1">+B16/B12</f>
        <v>0.10946399923979451</v>
      </c>
      <c r="C17" s="21">
        <f t="shared" si="1"/>
        <v>0.13740065808891852</v>
      </c>
      <c r="D17" s="21">
        <f t="shared" ref="D17:E17" si="2">+D16/D12</f>
        <v>0.14420305297277894</v>
      </c>
      <c r="E17" s="21">
        <f t="shared" si="2"/>
        <v>0.13403385110734015</v>
      </c>
      <c r="F17" s="21">
        <f t="shared" ref="F17:G17" si="3">+F16/F12</f>
        <v>7.218400924448358E-2</v>
      </c>
      <c r="G17" s="21">
        <f t="shared" si="3"/>
        <v>8.725187321852225E-2</v>
      </c>
      <c r="H17" s="21">
        <f t="shared" ref="H17:I17" si="4">+H16/H12</f>
        <v>0.10137319435756835</v>
      </c>
      <c r="I17" s="21">
        <f t="shared" si="4"/>
        <v>0.12727074235807856</v>
      </c>
      <c r="J17" s="21">
        <f t="shared" ref="J17:K17" si="5">+J16/J12</f>
        <v>8.3371196251866092E-2</v>
      </c>
      <c r="K17" s="21">
        <f t="shared" si="5"/>
        <v>0.11288684344926919</v>
      </c>
      <c r="L17" s="21">
        <f t="shared" ref="L17:X17" si="6">+L16/L12</f>
        <v>0.10676825828212301</v>
      </c>
      <c r="M17" s="21">
        <f t="shared" si="6"/>
        <v>0.13935916193226797</v>
      </c>
      <c r="N17" s="21">
        <f t="shared" si="6"/>
        <v>7.7557114089299342E-2</v>
      </c>
      <c r="O17" s="21">
        <f t="shared" si="6"/>
        <v>8.4060955813471214E-2</v>
      </c>
      <c r="P17" s="21">
        <f t="shared" si="6"/>
        <v>0.12744991363246874</v>
      </c>
      <c r="Q17" s="21">
        <f t="shared" si="6"/>
        <v>0.15607964535684951</v>
      </c>
      <c r="R17" s="21">
        <f t="shared" si="6"/>
        <v>0.10725966207030492</v>
      </c>
      <c r="S17" s="21">
        <f t="shared" si="6"/>
        <v>8.9567825622664035E-2</v>
      </c>
      <c r="T17" s="21">
        <f t="shared" si="6"/>
        <v>8.4469651261011219E-2</v>
      </c>
      <c r="U17" s="21">
        <f t="shared" si="6"/>
        <v>9.2948742169257387E-2</v>
      </c>
      <c r="V17" s="21">
        <f t="shared" si="6"/>
        <v>5.1957477340766833E-2</v>
      </c>
      <c r="W17" s="21">
        <f t="shared" si="6"/>
        <v>8.5292057962686962E-2</v>
      </c>
      <c r="X17" s="21">
        <f t="shared" si="6"/>
        <v>9.8838892605053769E-2</v>
      </c>
    </row>
    <row r="18" spans="1:27" s="24" customFormat="1"/>
    <row r="19" spans="1:27"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row>
    <row r="20" spans="1:27"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2.8</v>
      </c>
      <c r="V20" s="20">
        <v>1.6</v>
      </c>
      <c r="W20" s="20">
        <v>1.2</v>
      </c>
      <c r="X20" s="20">
        <v>0.9</v>
      </c>
    </row>
    <row r="21" spans="1:27"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row>
    <row r="22" spans="1:27" s="17" customFormat="1">
      <c r="A22" s="17" t="s">
        <v>58</v>
      </c>
      <c r="B22" s="27">
        <f t="shared" ref="B22" si="7">SUM(B16,B19:B21)</f>
        <v>19.582999999999998</v>
      </c>
      <c r="C22" s="27">
        <f t="shared" ref="C22:D22" si="8">SUM(C16,C19:C21)</f>
        <v>25.138000000000002</v>
      </c>
      <c r="D22" s="27">
        <f t="shared" si="8"/>
        <v>25.713999999999999</v>
      </c>
      <c r="E22" s="27">
        <f t="shared" ref="E22:F22" si="9">SUM(E16,E19:E21)</f>
        <v>24.643999999999991</v>
      </c>
      <c r="F22" s="27">
        <f t="shared" si="9"/>
        <v>13.118</v>
      </c>
      <c r="G22" s="27">
        <f t="shared" ref="G22:H22" si="10">SUM(G16,G19:G21)</f>
        <v>15.336</v>
      </c>
      <c r="H22" s="27">
        <f t="shared" si="10"/>
        <v>17.341000000000001</v>
      </c>
      <c r="I22" s="27">
        <f t="shared" ref="I22:J22" si="11">SUM(I16,I19:I21)</f>
        <v>23.315999999999995</v>
      </c>
      <c r="J22" s="27">
        <f t="shared" si="11"/>
        <v>14.129</v>
      </c>
      <c r="K22" s="27">
        <f t="shared" ref="K22:P22" si="12">SUM(K16,K19:K21)</f>
        <v>19.672000000000001</v>
      </c>
      <c r="L22" s="27">
        <f t="shared" si="12"/>
        <v>17.600000000000001</v>
      </c>
      <c r="M22" s="27">
        <f t="shared" si="12"/>
        <v>22.003</v>
      </c>
      <c r="N22" s="27">
        <f t="shared" si="12"/>
        <v>11.168999999999997</v>
      </c>
      <c r="O22" s="27">
        <f t="shared" si="12"/>
        <v>11.755000000000001</v>
      </c>
      <c r="P22" s="27">
        <f t="shared" si="12"/>
        <v>18.741</v>
      </c>
      <c r="Q22" s="27">
        <f>Q24-T22-S22-R22</f>
        <v>22.991</v>
      </c>
      <c r="R22" s="27">
        <f t="shared" ref="R22:X22" si="13">SUM(R16,R19:R21)</f>
        <v>13.807</v>
      </c>
      <c r="S22" s="27">
        <f t="shared" si="13"/>
        <v>11.407</v>
      </c>
      <c r="T22" s="27">
        <f t="shared" si="13"/>
        <v>10.5</v>
      </c>
      <c r="U22" s="27">
        <f t="shared" si="13"/>
        <v>15.100000000000001</v>
      </c>
      <c r="V22" s="27">
        <f t="shared" si="13"/>
        <v>7.9</v>
      </c>
      <c r="W22" s="27">
        <f t="shared" si="13"/>
        <v>10.7</v>
      </c>
      <c r="X22" s="27">
        <f t="shared" si="13"/>
        <v>10.8</v>
      </c>
      <c r="Z22" s="106"/>
      <c r="AA22" s="106"/>
    </row>
    <row r="23" spans="1:27" s="17" customFormat="1">
      <c r="B23" s="21"/>
      <c r="C23" s="21"/>
      <c r="D23" s="21"/>
      <c r="E23" s="21"/>
      <c r="F23" s="21"/>
      <c r="G23" s="21"/>
      <c r="H23" s="21"/>
      <c r="I23" s="21"/>
      <c r="J23" s="21"/>
      <c r="K23" s="21"/>
      <c r="L23" s="87"/>
      <c r="M23" s="27"/>
      <c r="N23" s="27"/>
      <c r="O23" s="27"/>
      <c r="P23" s="27"/>
      <c r="Q23" s="27"/>
      <c r="R23" s="27"/>
      <c r="S23" s="27"/>
      <c r="T23" s="27"/>
      <c r="U23" s="27"/>
      <c r="V23" s="27"/>
      <c r="W23" s="27"/>
      <c r="X23" s="27"/>
      <c r="Y23" s="21"/>
      <c r="Z23" s="87"/>
      <c r="AA23" s="87"/>
    </row>
    <row r="24" spans="1:27" s="17" customFormat="1">
      <c r="A24" s="17" t="s">
        <v>59</v>
      </c>
      <c r="B24" s="27">
        <f t="shared" ref="B24:U24" si="14">SUM(B22:E22)</f>
        <v>95.078999999999994</v>
      </c>
      <c r="C24" s="27">
        <f t="shared" si="14"/>
        <v>88.61399999999999</v>
      </c>
      <c r="D24" s="27">
        <f t="shared" si="14"/>
        <v>78.811999999999998</v>
      </c>
      <c r="E24" s="27">
        <f t="shared" si="14"/>
        <v>70.438999999999993</v>
      </c>
      <c r="F24" s="27">
        <f t="shared" si="14"/>
        <v>69.11099999999999</v>
      </c>
      <c r="G24" s="27">
        <f t="shared" si="14"/>
        <v>70.122</v>
      </c>
      <c r="H24" s="27">
        <f t="shared" si="14"/>
        <v>74.457999999999998</v>
      </c>
      <c r="I24" s="27">
        <f t="shared" si="14"/>
        <v>74.716999999999985</v>
      </c>
      <c r="J24" s="27">
        <f t="shared" si="14"/>
        <v>73.403999999999996</v>
      </c>
      <c r="K24" s="27">
        <f t="shared" si="14"/>
        <v>70.444000000000003</v>
      </c>
      <c r="L24" s="27">
        <f t="shared" si="14"/>
        <v>62.527000000000001</v>
      </c>
      <c r="M24" s="27">
        <f t="shared" si="14"/>
        <v>63.667999999999999</v>
      </c>
      <c r="N24" s="27">
        <f t="shared" si="14"/>
        <v>64.656000000000006</v>
      </c>
      <c r="O24" s="27">
        <f t="shared" si="14"/>
        <v>67.293999999999997</v>
      </c>
      <c r="P24" s="27">
        <f t="shared" si="14"/>
        <v>66.945999999999998</v>
      </c>
      <c r="Q24" s="46">
        <v>58.704999999999998</v>
      </c>
      <c r="R24" s="27">
        <f t="shared" si="14"/>
        <v>50.814</v>
      </c>
      <c r="S24" s="27">
        <f t="shared" si="14"/>
        <v>44.907000000000004</v>
      </c>
      <c r="T24" s="27">
        <f t="shared" si="14"/>
        <v>44.2</v>
      </c>
      <c r="U24" s="27">
        <f t="shared" si="14"/>
        <v>44.5</v>
      </c>
      <c r="V24" s="27"/>
      <c r="W24" s="27"/>
      <c r="X24" s="27"/>
    </row>
    <row r="25" spans="1:27" s="24" customFormat="1">
      <c r="A25" s="19" t="s">
        <v>60</v>
      </c>
      <c r="B25" s="28">
        <v>0</v>
      </c>
      <c r="C25" s="28">
        <v>0</v>
      </c>
      <c r="D25" s="28">
        <v>0</v>
      </c>
      <c r="E25" s="28">
        <v>0</v>
      </c>
      <c r="F25" s="28">
        <f>101.537-F26-F24</f>
        <v>17.126000000000019</v>
      </c>
      <c r="G25" s="28">
        <f>111.496-G26-G24</f>
        <v>21.585999999999999</v>
      </c>
      <c r="H25" s="28">
        <f>92.741-H24</f>
        <v>18.283000000000001</v>
      </c>
      <c r="I25" s="28">
        <f>110.8-I26-I24</f>
        <v>16.573000000000022</v>
      </c>
      <c r="J25" s="28">
        <f>87.558-J24</f>
        <v>14.154000000000011</v>
      </c>
      <c r="K25" s="28">
        <f>84.643-K24</f>
        <v>14.198999999999998</v>
      </c>
      <c r="L25" s="28">
        <f>79.6-L24</f>
        <v>17.072999999999993</v>
      </c>
      <c r="M25" s="28">
        <f>76.693-M24</f>
        <v>13.024999999999999</v>
      </c>
      <c r="N25" s="28">
        <f>68.272-N24</f>
        <v>3.6159999999999997</v>
      </c>
      <c r="O25" s="28">
        <f>71.376-O24</f>
        <v>4.0820000000000078</v>
      </c>
      <c r="P25" s="28">
        <f>Q25</f>
        <v>13.785999999999994</v>
      </c>
      <c r="Q25" s="28">
        <f>R25</f>
        <v>13.785999999999994</v>
      </c>
      <c r="R25" s="28">
        <f>R27-R24</f>
        <v>13.785999999999994</v>
      </c>
      <c r="S25" s="28">
        <v>0</v>
      </c>
      <c r="T25" s="28">
        <v>0</v>
      </c>
      <c r="U25" s="28">
        <v>0</v>
      </c>
      <c r="V25" s="28"/>
      <c r="W25" s="28"/>
      <c r="X25" s="28"/>
    </row>
    <row r="26" spans="1:27" s="24" customFormat="1">
      <c r="A26" s="19" t="s">
        <v>61</v>
      </c>
      <c r="B26" s="29">
        <f>111.572-B25-B24</f>
        <v>16.493000000000009</v>
      </c>
      <c r="C26" s="29">
        <f>106.214-C25-C24</f>
        <v>17.600000000000009</v>
      </c>
      <c r="D26" s="29">
        <f>100.602-D25-D24</f>
        <v>21.790000000000006</v>
      </c>
      <c r="E26" s="29">
        <f>98.956-E25-E24</f>
        <v>28.51700000000001</v>
      </c>
      <c r="F26" s="29">
        <v>15.3</v>
      </c>
      <c r="G26" s="29">
        <f>1.608+0.331+16.479+1.37</f>
        <v>19.788</v>
      </c>
      <c r="H26" s="29">
        <f>I26</f>
        <v>19.509999999999991</v>
      </c>
      <c r="I26" s="29">
        <v>19.509999999999991</v>
      </c>
      <c r="J26" s="29">
        <v>0</v>
      </c>
      <c r="K26" s="29">
        <v>0</v>
      </c>
      <c r="L26" s="29">
        <v>0</v>
      </c>
      <c r="M26" s="29">
        <v>0</v>
      </c>
      <c r="N26" s="29">
        <v>0</v>
      </c>
      <c r="O26" s="29">
        <v>0</v>
      </c>
      <c r="P26" s="29">
        <v>0</v>
      </c>
      <c r="Q26" s="29">
        <v>0</v>
      </c>
      <c r="R26" s="29">
        <v>0</v>
      </c>
      <c r="S26" s="29">
        <v>0</v>
      </c>
      <c r="T26" s="29">
        <v>0</v>
      </c>
      <c r="U26" s="29">
        <v>0</v>
      </c>
      <c r="V26" s="30"/>
      <c r="W26" s="30"/>
      <c r="X26" s="30"/>
    </row>
    <row r="27" spans="1:27" s="32" customFormat="1">
      <c r="A27" s="17" t="s">
        <v>62</v>
      </c>
      <c r="B27" s="65">
        <f t="shared" ref="B27" si="15">SUM(B24:B26)</f>
        <v>111.572</v>
      </c>
      <c r="C27" s="65">
        <f t="shared" ref="C27:J27" si="16">SUM(C24:C26)</f>
        <v>106.214</v>
      </c>
      <c r="D27" s="65">
        <f t="shared" si="16"/>
        <v>100.602</v>
      </c>
      <c r="E27" s="65">
        <f t="shared" si="16"/>
        <v>98.956000000000003</v>
      </c>
      <c r="F27" s="65">
        <f t="shared" si="16"/>
        <v>101.53700000000001</v>
      </c>
      <c r="G27" s="65">
        <f t="shared" si="16"/>
        <v>111.496</v>
      </c>
      <c r="H27" s="65">
        <f t="shared" si="16"/>
        <v>112.25099999999999</v>
      </c>
      <c r="I27" s="65">
        <f t="shared" si="16"/>
        <v>110.8</v>
      </c>
      <c r="J27" s="65">
        <f t="shared" si="16"/>
        <v>87.558000000000007</v>
      </c>
      <c r="K27" s="65">
        <f t="shared" ref="K27:O27" si="17">SUM(K24:K26)</f>
        <v>84.643000000000001</v>
      </c>
      <c r="L27" s="65">
        <f t="shared" si="17"/>
        <v>79.599999999999994</v>
      </c>
      <c r="M27" s="65">
        <f t="shared" si="17"/>
        <v>76.692999999999998</v>
      </c>
      <c r="N27" s="27">
        <f t="shared" si="17"/>
        <v>68.272000000000006</v>
      </c>
      <c r="O27" s="27">
        <f t="shared" si="17"/>
        <v>71.376000000000005</v>
      </c>
      <c r="P27" s="27">
        <f t="shared" ref="P27:U27" si="18">SUM(P24:P26)</f>
        <v>80.731999999999999</v>
      </c>
      <c r="Q27" s="27">
        <f t="shared" si="18"/>
        <v>72.490999999999985</v>
      </c>
      <c r="R27" s="27">
        <v>64.599999999999994</v>
      </c>
      <c r="S27" s="27">
        <f t="shared" si="18"/>
        <v>44.907000000000004</v>
      </c>
      <c r="T27" s="27">
        <f t="shared" si="18"/>
        <v>44.2</v>
      </c>
      <c r="U27" s="27">
        <f t="shared" si="18"/>
        <v>44.5</v>
      </c>
      <c r="V27" s="31"/>
      <c r="W27" s="31"/>
      <c r="X27" s="31"/>
    </row>
    <row r="28" spans="1:27" s="24" customFormat="1"/>
    <row r="29" spans="1:27" s="17" customFormat="1">
      <c r="A29" s="17" t="s">
        <v>58</v>
      </c>
      <c r="B29" s="27">
        <f t="shared" ref="B29" si="19">B22</f>
        <v>19.582999999999998</v>
      </c>
      <c r="C29" s="27">
        <f t="shared" ref="C29:J29" si="20">C22</f>
        <v>25.138000000000002</v>
      </c>
      <c r="D29" s="27">
        <f t="shared" si="20"/>
        <v>25.713999999999999</v>
      </c>
      <c r="E29" s="27">
        <f t="shared" si="20"/>
        <v>24.643999999999991</v>
      </c>
      <c r="F29" s="27">
        <f t="shared" si="20"/>
        <v>13.118</v>
      </c>
      <c r="G29" s="27">
        <f t="shared" si="20"/>
        <v>15.336</v>
      </c>
      <c r="H29" s="27">
        <f t="shared" si="20"/>
        <v>17.341000000000001</v>
      </c>
      <c r="I29" s="27">
        <f t="shared" si="20"/>
        <v>23.315999999999995</v>
      </c>
      <c r="J29" s="27">
        <f t="shared" si="20"/>
        <v>14.129</v>
      </c>
      <c r="K29" s="27">
        <f t="shared" ref="K29:X29" si="21">K22</f>
        <v>19.672000000000001</v>
      </c>
      <c r="L29" s="27">
        <f t="shared" si="21"/>
        <v>17.600000000000001</v>
      </c>
      <c r="M29" s="27">
        <f t="shared" si="21"/>
        <v>22.003</v>
      </c>
      <c r="N29" s="27">
        <f t="shared" si="21"/>
        <v>11.168999999999997</v>
      </c>
      <c r="O29" s="27">
        <f t="shared" si="21"/>
        <v>11.755000000000001</v>
      </c>
      <c r="P29" s="27">
        <f t="shared" si="21"/>
        <v>18.741</v>
      </c>
      <c r="Q29" s="27">
        <f t="shared" si="21"/>
        <v>22.991</v>
      </c>
      <c r="R29" s="27">
        <f t="shared" si="21"/>
        <v>13.807</v>
      </c>
      <c r="S29" s="27">
        <f t="shared" si="21"/>
        <v>11.407</v>
      </c>
      <c r="T29" s="27">
        <f t="shared" si="21"/>
        <v>10.5</v>
      </c>
      <c r="U29" s="27">
        <f t="shared" si="21"/>
        <v>15.100000000000001</v>
      </c>
      <c r="V29" s="27">
        <f t="shared" si="21"/>
        <v>7.9</v>
      </c>
      <c r="W29" s="27">
        <f t="shared" si="21"/>
        <v>10.7</v>
      </c>
      <c r="X29" s="27">
        <f t="shared" si="21"/>
        <v>10.8</v>
      </c>
      <c r="Z29" s="14"/>
    </row>
    <row r="30" spans="1:27" s="33" customFormat="1">
      <c r="A30" s="20" t="s">
        <v>63</v>
      </c>
      <c r="B30" s="20">
        <f>-9.004+0.714</f>
        <v>-8.2899999999999991</v>
      </c>
      <c r="C30" s="20">
        <f>-9.108+0.704</f>
        <v>-8.4039999999999999</v>
      </c>
      <c r="D30" s="20">
        <f>-9.048+0.701</f>
        <v>-8.3469999999999995</v>
      </c>
      <c r="E30" s="20">
        <f>-31.395-F30-G30-H30</f>
        <v>-9.8980000000000015</v>
      </c>
      <c r="F30" s="20">
        <f>-9.679+0.691</f>
        <v>-8.9879999999999995</v>
      </c>
      <c r="G30" s="20">
        <f>-7.442+0.53</f>
        <v>-6.9119999999999999</v>
      </c>
      <c r="H30" s="20">
        <f>-5.887+0.29</f>
        <v>-5.5969999999999995</v>
      </c>
      <c r="I30" s="20">
        <f>-22.518-J30-K30-L30</f>
        <v>-5.8460000000000019</v>
      </c>
      <c r="J30" s="20">
        <f>-17.536+0.864-K30-L30</f>
        <v>-6.1809999999999992</v>
      </c>
      <c r="K30" s="20">
        <f>-5.828+0.318</f>
        <v>-5.5100000000000007</v>
      </c>
      <c r="L30" s="20">
        <f>-5.241+0.26</f>
        <v>-4.9809999999999999</v>
      </c>
      <c r="M30" s="20">
        <f>-18.819-N30-O30-P30</f>
        <v>-0.66300000000000026</v>
      </c>
      <c r="N30" s="20">
        <f>-18.819-O30-P30-Q30</f>
        <v>-8.8989999999999974</v>
      </c>
      <c r="O30" s="20">
        <f>-9.819+0.562-P30</f>
        <v>-4.5950000000000015</v>
      </c>
      <c r="P30" s="20">
        <f>-4.958+0.296</f>
        <v>-4.6619999999999999</v>
      </c>
      <c r="Q30" s="20">
        <f>-2.713-0.026-T30-S30-R30</f>
        <v>-0.66299999999999981</v>
      </c>
      <c r="R30" s="20">
        <f>-2.887+0.811-S30-T30</f>
        <v>-0.74800000000000022</v>
      </c>
      <c r="S30" s="20">
        <f>-1.686+0.358-T30</f>
        <v>-0.66299999999999981</v>
      </c>
      <c r="T30" s="20">
        <f>-0.845+0.18</f>
        <v>-0.66500000000000004</v>
      </c>
      <c r="U30" s="20">
        <f>-2.707-X30-W30-V30</f>
        <v>-1.4469999999999996</v>
      </c>
      <c r="V30" s="20">
        <f>-1.562+0.302-X30-W30</f>
        <v>-0.89</v>
      </c>
      <c r="W30" s="20">
        <f>-0.489+0.119-X30</f>
        <v>-0.34199999999999997</v>
      </c>
      <c r="X30" s="20">
        <f>-0.028+0</f>
        <v>-2.8000000000000001E-2</v>
      </c>
    </row>
    <row r="31" spans="1:27" s="33" customFormat="1">
      <c r="A31" s="20" t="s">
        <v>64</v>
      </c>
      <c r="B31" s="20">
        <v>-0.56699999999999995</v>
      </c>
      <c r="C31" s="20">
        <v>-2.738</v>
      </c>
      <c r="D31" s="20">
        <f>-2.662+0</f>
        <v>-2.6619999999999999</v>
      </c>
      <c r="E31" s="20">
        <f>-5.953-F31-G31-H31</f>
        <v>-8.0180000000000007</v>
      </c>
      <c r="F31" s="20">
        <v>2.3159999999999998</v>
      </c>
      <c r="G31" s="20">
        <v>3.1880000000000002</v>
      </c>
      <c r="H31" s="20">
        <f>-3.439+0</f>
        <v>-3.4390000000000001</v>
      </c>
      <c r="I31" s="20">
        <f>-5.84-J31-K31-L31</f>
        <v>-1.1929999999999992</v>
      </c>
      <c r="J31" s="20">
        <f>-4.647+0-K31-L31</f>
        <v>-0.56600000000000028</v>
      </c>
      <c r="K31" s="20">
        <f>-1.933-0.443</f>
        <v>-2.3759999999999999</v>
      </c>
      <c r="L31" s="20">
        <f>-2.148+0.443</f>
        <v>-1.7050000000000001</v>
      </c>
      <c r="M31" s="20">
        <f>3.542-N31-O31-P31</f>
        <v>5.8330000000000002</v>
      </c>
      <c r="N31" s="20">
        <f>-2.291+0-P31-O31</f>
        <v>0.68000000000000016</v>
      </c>
      <c r="O31" s="20">
        <f>-2.971+0-P31</f>
        <v>1.2000000000000011E-2</v>
      </c>
      <c r="P31" s="20">
        <f>-2.983+0</f>
        <v>-2.9830000000000001</v>
      </c>
      <c r="Q31" s="20">
        <f>-9.77-T31-S31-R31</f>
        <v>-5.4940000000000007</v>
      </c>
      <c r="R31" s="20">
        <f>-5.867+1.591-S31-T31</f>
        <v>3.0000000000000249E-2</v>
      </c>
      <c r="S31" s="20">
        <f>-4.204-0.102-T31</f>
        <v>-2.9550000000000001</v>
      </c>
      <c r="T31" s="20">
        <f>-1.731+0.38</f>
        <v>-1.351</v>
      </c>
      <c r="U31" s="20">
        <f>-10.128-X31-W31-V31</f>
        <v>-6.2399999999999993</v>
      </c>
      <c r="V31" s="20">
        <f>4.358-8.246-X31-W31</f>
        <v>0.81599999999999895</v>
      </c>
      <c r="W31" s="20">
        <f>-5.596+0.892-X31</f>
        <v>-1.3659999999999997</v>
      </c>
      <c r="X31" s="20">
        <f>-3.157-0.181</f>
        <v>-3.3380000000000001</v>
      </c>
    </row>
    <row r="32" spans="1:27" s="33" customFormat="1">
      <c r="A32" s="20" t="s">
        <v>65</v>
      </c>
      <c r="B32" s="20">
        <f>0.19+1.193+0.123+0.136+3.13+0.014+0.654-2.912-7.064-4.355+0.009-1.3</f>
        <v>-10.182</v>
      </c>
      <c r="C32" s="20">
        <f>16.05+0.558+2.001+0.235+1.496+0.014+0.602-5.792+4.513+0.064-0.02+2.496</f>
        <v>22.216999999999999</v>
      </c>
      <c r="D32" s="20">
        <f>-7.897+0.031+0.912+0.034+1.83+0.014-0.173+4.27-0.133-1.489-2.421</f>
        <v>-5.0220000000000002</v>
      </c>
      <c r="E32" s="20">
        <f>48.554+3.786+0.343+0.617-0.211-0.02+1.713-18.039+11.324-5.619-0.008-F32-G32-H32</f>
        <v>64.462999999999994</v>
      </c>
      <c r="F32" s="20">
        <f>-9.337+0.599-1.906+0.107+4+0.013+0.545+0.391-3.751-3.065+0.056</f>
        <v>-12.348000000000001</v>
      </c>
      <c r="G32" s="20">
        <f>2.62+1.192-8.674+0.056-0.323-0.028+0.589+7.053-2.05-2.962+2.868</f>
        <v>0.34100000000000019</v>
      </c>
      <c r="H32" s="20">
        <f>-6.375+2.413+3.492+0.397+0.845+0.011+1.565-1.464-5.845-4.403-0.652</f>
        <v>-10.016</v>
      </c>
      <c r="I32" s="20">
        <f>-40.131+11.564-0.726+0.887-7.878-0.235+2.648+23.361+8.958-15.084-1.464-J32-K32-L32</f>
        <v>7.9660000000000046</v>
      </c>
      <c r="J32" s="20">
        <f>3.666+2.822+0.147-0.422-0.3+2.902+1.448-0.546-1.183-6.1-4.084</f>
        <v>-1.6499999999999968</v>
      </c>
      <c r="K32" s="20">
        <f>-14.039+4.082-1.404+0.189+1.763+0.025-0.41+5.687-1.404-0.813-2.952+0.921</f>
        <v>-8.3550000000000004</v>
      </c>
      <c r="L32" s="20">
        <f>-7.788+1.701+1.582+0.028-0.986+0.025-0.638-2.802-3.152-1.511-2.52</f>
        <v>-16.061</v>
      </c>
      <c r="M32" s="20">
        <f>-37.07+9.439-1.111+1.289+4.057-0.017-1.556+15.412+2.641-15.804-0.016-3.223-N32-O32-P32</f>
        <v>1.0160000000000089</v>
      </c>
      <c r="N32" s="20">
        <f>-0.628+3.854-0.721+0.302+6.077+0.018+0.528-7.479-1.131-2.717+0.095-3.606</f>
        <v>-5.4079999999999986</v>
      </c>
      <c r="O32" s="20">
        <f>1.628+3.362+0.231+2.181+0.018+0.573+3.919-0.758-6.601-1.921-0.083-1.547</f>
        <v>1.0019999999999996</v>
      </c>
      <c r="P32" s="20">
        <f>-34.125-0.875+2.788-0.049+1.159-0.049+0.926+12.148-1.127-3.966-0.029+0.63</f>
        <v>-22.569000000000006</v>
      </c>
      <c r="Q32" s="20">
        <f>(-28.456+1.631-0.966+0.849-8.996+2.116+3.977+35.033-1.931-3.622-0.069+10.705)+(5.258+0.526-0.659+0.252-17.997+8.775-7.258)</f>
        <v>-0.83200000000000252</v>
      </c>
      <c r="R32" s="20">
        <f>-23.157+2.524-3.383+0.761+1.591+1.587+4.745+15.132-3.698-6.449-0.052+1.653-T32-S32</f>
        <v>-6.2110000000000003</v>
      </c>
      <c r="S32" s="20">
        <f>-25.609+0.868-0.65+0.454-0.092+1.058+3.635+22.103-3.059-2.883-0.007+1.647-T32</f>
        <v>11.105000000000002</v>
      </c>
      <c r="T32" s="20">
        <f>-19.66-0.152-0.589+0.224-1.158+0.529+1.705+9.884-1.56-2.89-0.033+0.06</f>
        <v>-13.639999999999999</v>
      </c>
      <c r="U32" s="20">
        <f>17.327-9.007-2.125-0.427-2.895+2.504+5.098-4.955-5.949+1.512-0.097+10.771-X32-W32-V32</f>
        <v>6.9029999999999987</v>
      </c>
      <c r="V32" s="20">
        <f>19.581+2.182-2.443+1.184-6.147+1.671+3.411-1.889-6.897-2.739-0.054-3.006-X32-W32</f>
        <v>9.152000000000001</v>
      </c>
      <c r="W32" s="20">
        <f>12.143+0.505-2.426+0.914-6.442+1.12+0.558-1.328-9.574+0.676-0.061-0.383-X32</f>
        <v>-10.251999999999999</v>
      </c>
      <c r="X32" s="20">
        <f>3.205+0.008-1.514+0.252-3.852+0.563+0.168-0.444+7.909+0.334-0.022-0.653</f>
        <v>5.9539999999999988</v>
      </c>
    </row>
    <row r="33" spans="1:27" s="33" customFormat="1">
      <c r="A33" s="20" t="s">
        <v>66</v>
      </c>
      <c r="B33" s="20">
        <f t="shared" ref="B33:D33" si="22">-B19-B20-B21</f>
        <v>0</v>
      </c>
      <c r="C33" s="20">
        <f t="shared" si="22"/>
        <v>0</v>
      </c>
      <c r="D33" s="20">
        <f t="shared" si="22"/>
        <v>0</v>
      </c>
      <c r="E33" s="20">
        <f t="shared" ref="E33:G33" si="23">-E19-E20-E21</f>
        <v>0</v>
      </c>
      <c r="F33" s="20">
        <f t="shared" si="23"/>
        <v>0</v>
      </c>
      <c r="G33" s="20">
        <f t="shared" si="23"/>
        <v>0</v>
      </c>
      <c r="H33" s="20">
        <f t="shared" ref="H33:X33" si="24">-H19-H20-H21</f>
        <v>0</v>
      </c>
      <c r="I33" s="20">
        <f t="shared" si="24"/>
        <v>0</v>
      </c>
      <c r="J33" s="20">
        <f t="shared" si="24"/>
        <v>0</v>
      </c>
      <c r="K33" s="20">
        <f t="shared" si="24"/>
        <v>0</v>
      </c>
      <c r="L33" s="20">
        <f t="shared" si="24"/>
        <v>0</v>
      </c>
      <c r="M33" s="20">
        <f t="shared" si="24"/>
        <v>0</v>
      </c>
      <c r="N33" s="20">
        <f t="shared" si="24"/>
        <v>0</v>
      </c>
      <c r="O33" s="20">
        <f t="shared" si="24"/>
        <v>0</v>
      </c>
      <c r="P33" s="20">
        <f t="shared" si="24"/>
        <v>0</v>
      </c>
      <c r="Q33" s="20">
        <f t="shared" si="24"/>
        <v>0</v>
      </c>
      <c r="R33" s="20">
        <f t="shared" si="24"/>
        <v>0</v>
      </c>
      <c r="S33" s="20">
        <f t="shared" si="24"/>
        <v>0</v>
      </c>
      <c r="T33" s="20">
        <f t="shared" si="24"/>
        <v>0</v>
      </c>
      <c r="U33" s="20">
        <f t="shared" si="24"/>
        <v>-2.8</v>
      </c>
      <c r="V33" s="20">
        <f t="shared" si="24"/>
        <v>-1.6</v>
      </c>
      <c r="W33" s="20">
        <f t="shared" si="24"/>
        <v>-1.2</v>
      </c>
      <c r="X33" s="20">
        <f t="shared" si="24"/>
        <v>-0.9</v>
      </c>
    </row>
    <row r="34" spans="1:27" s="33" customFormat="1">
      <c r="A34" s="20" t="s">
        <v>57</v>
      </c>
      <c r="B34" s="29">
        <f t="shared" ref="B34:D34" si="25">B35-SUM(B29:B33)</f>
        <v>-0.25599999999999873</v>
      </c>
      <c r="C34" s="29">
        <f t="shared" si="25"/>
        <v>-0.66799999999999926</v>
      </c>
      <c r="D34" s="29">
        <f t="shared" si="25"/>
        <v>0.131000000000002</v>
      </c>
      <c r="E34" s="29">
        <f t="shared" ref="E34:G34" si="26">E35-SUM(E29:E33)</f>
        <v>5.0680000000000121</v>
      </c>
      <c r="F34" s="29">
        <f t="shared" si="26"/>
        <v>-1.1379999999999999</v>
      </c>
      <c r="G34" s="29">
        <f t="shared" si="26"/>
        <v>-5.113999999999999</v>
      </c>
      <c r="H34" s="29">
        <f t="shared" ref="H34:R34" si="27">H35-SUM(H29:H33)</f>
        <v>0.30399999999999849</v>
      </c>
      <c r="I34" s="29">
        <f t="shared" si="27"/>
        <v>2.4989999999999988</v>
      </c>
      <c r="J34" s="29">
        <f t="shared" si="27"/>
        <v>-0.58800000000000274</v>
      </c>
      <c r="K34" s="29">
        <f t="shared" si="27"/>
        <v>8.0000000000000959E-2</v>
      </c>
      <c r="L34" s="29">
        <f t="shared" si="27"/>
        <v>-0.38200000000000145</v>
      </c>
      <c r="M34" s="29">
        <f t="shared" si="27"/>
        <v>-7.9270000000000103</v>
      </c>
      <c r="N34" s="29">
        <f t="shared" si="27"/>
        <v>5.097999999999999</v>
      </c>
      <c r="O34" s="29">
        <f t="shared" si="27"/>
        <v>1.9000000000001904E-2</v>
      </c>
      <c r="P34" s="29">
        <f t="shared" si="27"/>
        <v>0.32700000000000529</v>
      </c>
      <c r="Q34" s="29">
        <f t="shared" si="27"/>
        <v>-24.08</v>
      </c>
      <c r="R34" s="29">
        <f t="shared" si="27"/>
        <v>0.19599999999999973</v>
      </c>
      <c r="S34" s="29">
        <f t="shared" ref="S34:X34" si="28">S35-SUM(S29:S33)</f>
        <v>2.5089999999999968</v>
      </c>
      <c r="T34" s="29">
        <f t="shared" si="28"/>
        <v>1.9699999999999971</v>
      </c>
      <c r="U34" s="29">
        <f t="shared" si="28"/>
        <v>6.1489999999999974</v>
      </c>
      <c r="V34" s="29">
        <f t="shared" si="28"/>
        <v>1.6609999999999996</v>
      </c>
      <c r="W34" s="29">
        <f t="shared" si="28"/>
        <v>1.508</v>
      </c>
      <c r="X34" s="29">
        <f t="shared" si="28"/>
        <v>1.9000000000000021</v>
      </c>
    </row>
    <row r="35" spans="1:27" s="27" customFormat="1">
      <c r="A35" s="27" t="s">
        <v>67</v>
      </c>
      <c r="B35" s="27">
        <v>0.28799999999999998</v>
      </c>
      <c r="C35" s="27">
        <v>35.545000000000002</v>
      </c>
      <c r="D35" s="27">
        <v>9.8140000000000001</v>
      </c>
      <c r="E35" s="27">
        <f>74.651-F35-G35-H35</f>
        <v>76.259</v>
      </c>
      <c r="F35" s="27">
        <v>-7.04</v>
      </c>
      <c r="G35" s="27">
        <v>6.8390000000000004</v>
      </c>
      <c r="H35" s="27">
        <v>-1.407</v>
      </c>
      <c r="I35" s="27">
        <f>29.868-J35-K35-L35</f>
        <v>26.741999999999997</v>
      </c>
      <c r="J35" s="27">
        <v>5.1440000000000001</v>
      </c>
      <c r="K35" s="27">
        <v>3.5110000000000001</v>
      </c>
      <c r="L35" s="27">
        <f>-5.529</f>
        <v>-5.5289999999999999</v>
      </c>
      <c r="M35" s="27">
        <f>19.949-N35-O35-P35</f>
        <v>20.262</v>
      </c>
      <c r="N35" s="27">
        <v>2.64</v>
      </c>
      <c r="O35" s="27">
        <v>8.1929999999999996</v>
      </c>
      <c r="P35" s="27">
        <v>-11.146000000000001</v>
      </c>
      <c r="Q35" s="27">
        <f>36.696-19.483-T35-S35-R35</f>
        <v>-8.078000000000003</v>
      </c>
      <c r="R35" s="27">
        <f>25.291-T35-S35</f>
        <v>7.0740000000000016</v>
      </c>
      <c r="S35" s="27">
        <f>18.217-T35</f>
        <v>21.402999999999999</v>
      </c>
      <c r="T35" s="27">
        <v>-3.1859999999999999</v>
      </c>
      <c r="U35" s="27">
        <f>48.14-X35-W35-V35</f>
        <v>17.664999999999999</v>
      </c>
      <c r="V35" s="27">
        <f>30.475-X35-W35</f>
        <v>17.039000000000001</v>
      </c>
      <c r="W35" s="27">
        <f>13.436-X35</f>
        <v>-0.95199999999999996</v>
      </c>
      <c r="X35" s="27">
        <v>14.388</v>
      </c>
    </row>
    <row r="36" spans="1:27" s="33" customFormat="1">
      <c r="A36" s="20" t="s">
        <v>68</v>
      </c>
      <c r="B36" s="29">
        <v>-1.58</v>
      </c>
      <c r="C36" s="29">
        <v>-0.94299999999999995</v>
      </c>
      <c r="D36" s="29">
        <v>-1.8180000000000001</v>
      </c>
      <c r="E36" s="29">
        <f>-11.342-F36-G36-H36</f>
        <v>-2.9650000000000007</v>
      </c>
      <c r="F36" s="29">
        <v>-3.2250000000000001</v>
      </c>
      <c r="G36" s="29">
        <v>-3.32</v>
      </c>
      <c r="H36" s="29">
        <v>-1.8320000000000001</v>
      </c>
      <c r="I36" s="29">
        <f>-9.019-J36-K36-L36</f>
        <v>-1.7509999999999999</v>
      </c>
      <c r="J36" s="29">
        <v>-2.0209999999999999</v>
      </c>
      <c r="K36" s="29">
        <v>-2.7</v>
      </c>
      <c r="L36" s="29">
        <f>-2.547</f>
        <v>-2.5470000000000002</v>
      </c>
      <c r="M36" s="29">
        <f>-7.082-N36-O36-P36</f>
        <v>-1.6859999999999995</v>
      </c>
      <c r="N36" s="29">
        <v>-2.0350000000000001</v>
      </c>
      <c r="O36" s="29">
        <v>-2.3690000000000002</v>
      </c>
      <c r="P36" s="29">
        <v>-0.99199999999999999</v>
      </c>
      <c r="Q36" s="29">
        <f>-5.706-T36-S36-R36</f>
        <v>-1.8610000000000002</v>
      </c>
      <c r="R36" s="29">
        <f>-3.845-T36-S36</f>
        <v>-1.1830000000000003</v>
      </c>
      <c r="S36" s="29">
        <f>-2.662-T36</f>
        <v>-1.0369999999999999</v>
      </c>
      <c r="T36" s="29">
        <v>-1.625</v>
      </c>
      <c r="U36" s="29">
        <f>-8.328-X36-W36-V36</f>
        <v>-1.7810000000000001</v>
      </c>
      <c r="V36" s="29">
        <f>-6.547-X36-W36</f>
        <v>-2.5339999999999994</v>
      </c>
      <c r="W36" s="29">
        <f>-4.013-X36</f>
        <v>-1.9739999999999998</v>
      </c>
      <c r="X36" s="29">
        <v>-2.0390000000000001</v>
      </c>
    </row>
    <row r="37" spans="1:27" s="27" customFormat="1">
      <c r="A37" s="27" t="s">
        <v>69</v>
      </c>
      <c r="B37" s="27">
        <f t="shared" ref="B37:X37" si="29">+B35+B36</f>
        <v>-1.292</v>
      </c>
      <c r="C37" s="27">
        <f t="shared" si="29"/>
        <v>34.602000000000004</v>
      </c>
      <c r="D37" s="27">
        <f t="shared" si="29"/>
        <v>7.9960000000000004</v>
      </c>
      <c r="E37" s="27">
        <f t="shared" si="29"/>
        <v>73.293999999999997</v>
      </c>
      <c r="F37" s="27">
        <f t="shared" si="29"/>
        <v>-10.265000000000001</v>
      </c>
      <c r="G37" s="27">
        <f t="shared" si="29"/>
        <v>3.5190000000000006</v>
      </c>
      <c r="H37" s="27">
        <f t="shared" si="29"/>
        <v>-3.2389999999999999</v>
      </c>
      <c r="I37" s="27">
        <f t="shared" si="29"/>
        <v>24.990999999999996</v>
      </c>
      <c r="J37" s="27">
        <f t="shared" si="29"/>
        <v>3.1230000000000002</v>
      </c>
      <c r="K37" s="27">
        <f t="shared" si="29"/>
        <v>0.81099999999999994</v>
      </c>
      <c r="L37" s="27">
        <f t="shared" si="29"/>
        <v>-8.0760000000000005</v>
      </c>
      <c r="M37" s="27">
        <f t="shared" si="29"/>
        <v>18.576000000000001</v>
      </c>
      <c r="N37" s="27">
        <f t="shared" si="29"/>
        <v>0.60499999999999998</v>
      </c>
      <c r="O37" s="27">
        <f t="shared" si="29"/>
        <v>5.8239999999999998</v>
      </c>
      <c r="P37" s="27">
        <f t="shared" si="29"/>
        <v>-12.138000000000002</v>
      </c>
      <c r="Q37" s="27">
        <f t="shared" si="29"/>
        <v>-9.9390000000000036</v>
      </c>
      <c r="R37" s="27">
        <f t="shared" si="29"/>
        <v>5.8910000000000018</v>
      </c>
      <c r="S37" s="27">
        <f>+S35+S36</f>
        <v>20.366</v>
      </c>
      <c r="T37" s="27">
        <f t="shared" si="29"/>
        <v>-4.8109999999999999</v>
      </c>
      <c r="U37" s="27">
        <f t="shared" si="29"/>
        <v>15.883999999999999</v>
      </c>
      <c r="V37" s="27">
        <f t="shared" si="29"/>
        <v>14.505000000000003</v>
      </c>
      <c r="W37" s="27">
        <f t="shared" si="29"/>
        <v>-2.9259999999999997</v>
      </c>
      <c r="X37" s="27">
        <f t="shared" si="29"/>
        <v>12.349</v>
      </c>
    </row>
    <row r="38" spans="1:27">
      <c r="B38" s="49"/>
      <c r="C38" s="49"/>
      <c r="D38" s="49"/>
      <c r="E38" s="49"/>
      <c r="F38" s="49"/>
      <c r="G38" s="49"/>
      <c r="H38" s="49"/>
      <c r="I38" s="49"/>
      <c r="J38" s="142"/>
      <c r="K38" s="49"/>
      <c r="L38" s="49"/>
      <c r="M38" s="49"/>
      <c r="N38" s="142"/>
      <c r="O38" s="49"/>
      <c r="P38" s="49"/>
      <c r="Q38" s="49"/>
      <c r="R38" s="49"/>
      <c r="Z38" s="33"/>
      <c r="AA38" s="76"/>
    </row>
    <row r="39" spans="1:27" s="35" customFormat="1">
      <c r="A39" s="34" t="s">
        <v>70</v>
      </c>
      <c r="B39" s="20">
        <v>0</v>
      </c>
      <c r="C39" s="20">
        <v>0</v>
      </c>
      <c r="D39" s="20">
        <v>0</v>
      </c>
      <c r="E39" s="20">
        <v>0</v>
      </c>
      <c r="F39" s="20">
        <v>76</v>
      </c>
      <c r="G39" s="20">
        <v>0</v>
      </c>
      <c r="H39" s="20">
        <v>0</v>
      </c>
      <c r="I39" s="20">
        <v>0</v>
      </c>
      <c r="J39" s="20">
        <v>0</v>
      </c>
      <c r="K39" s="20">
        <v>0</v>
      </c>
      <c r="L39" s="20">
        <v>0</v>
      </c>
      <c r="M39" s="20">
        <v>0</v>
      </c>
      <c r="N39" s="20">
        <v>0</v>
      </c>
      <c r="O39" s="20">
        <v>0</v>
      </c>
      <c r="P39" s="20">
        <v>0</v>
      </c>
      <c r="Q39" s="20">
        <v>0</v>
      </c>
      <c r="R39" s="20">
        <v>0</v>
      </c>
      <c r="S39" s="20"/>
      <c r="T39" s="20"/>
      <c r="U39" s="20"/>
      <c r="V39" s="20"/>
      <c r="W39" s="20"/>
      <c r="X39" s="20"/>
      <c r="Y39" s="33"/>
      <c r="Z39" s="33"/>
    </row>
    <row r="40" spans="1:27" s="35" customFormat="1">
      <c r="A40" s="34" t="s">
        <v>71</v>
      </c>
      <c r="B40" s="20">
        <f>574.377+7.194</f>
        <v>581.57099999999991</v>
      </c>
      <c r="C40" s="20">
        <f>574.377+7.676</f>
        <v>582.053</v>
      </c>
      <c r="D40" s="20">
        <f>581.851+7.962</f>
        <v>589.81299999999999</v>
      </c>
      <c r="E40" s="20">
        <f>581.851+5.567</f>
        <v>587.41800000000001</v>
      </c>
      <c r="F40" s="20">
        <f>584.821+3.76</f>
        <v>588.58100000000002</v>
      </c>
      <c r="G40" s="20">
        <f>586.305+3.431</f>
        <v>589.73599999999999</v>
      </c>
      <c r="H40" s="20">
        <f>367.941+3.12+215</f>
        <v>586.06099999999992</v>
      </c>
      <c r="I40" s="20">
        <f>367.9+0.1+215</f>
        <v>583</v>
      </c>
      <c r="J40" s="20">
        <f>368.878+0.112</f>
        <v>368.99</v>
      </c>
      <c r="K40" s="20">
        <f>370.75+0.123</f>
        <v>370.87299999999999</v>
      </c>
      <c r="L40" s="20">
        <f>364.8+0.1</f>
        <v>364.90000000000003</v>
      </c>
      <c r="M40" s="20">
        <f>322.563+0.143</f>
        <v>322.70599999999996</v>
      </c>
      <c r="N40" s="20">
        <f>323.375+0.153</f>
        <v>323.52800000000002</v>
      </c>
      <c r="O40" s="20">
        <f>324.188+0.163</f>
        <v>324.351</v>
      </c>
      <c r="P40" s="20">
        <v>325</v>
      </c>
      <c r="Q40" s="20">
        <v>325</v>
      </c>
      <c r="R40" s="20">
        <v>325</v>
      </c>
      <c r="S40" s="20"/>
      <c r="T40" s="20"/>
      <c r="U40" s="20"/>
      <c r="V40" s="20"/>
      <c r="W40" s="20"/>
      <c r="X40" s="20"/>
      <c r="Y40" s="33"/>
      <c r="Z40" s="33"/>
    </row>
    <row r="41" spans="1:27" s="35" customFormat="1">
      <c r="A41" s="34" t="s">
        <v>72</v>
      </c>
      <c r="B41" s="20">
        <f>+B39+B40+3.957+5.481</f>
        <v>591.0089999999999</v>
      </c>
      <c r="C41" s="20">
        <f>+C39+C40+4.486+4.768</f>
        <v>591.30700000000002</v>
      </c>
      <c r="D41" s="20">
        <f>D39+D40+5.704+10.804</f>
        <v>606.32099999999991</v>
      </c>
      <c r="E41" s="20">
        <f>E39+E40+7.249+12.787</f>
        <v>607.45400000000006</v>
      </c>
      <c r="F41" s="20">
        <f>F39+F40+8.768+9.5</f>
        <v>682.84900000000005</v>
      </c>
      <c r="G41" s="20">
        <f>G39+G40+10.466+11.057</f>
        <v>611.25900000000001</v>
      </c>
      <c r="H41" s="20">
        <f>H39+H40+19</f>
        <v>605.06099999999992</v>
      </c>
      <c r="I41" s="20">
        <f>I39+I40+19</f>
        <v>602</v>
      </c>
      <c r="J41" s="20">
        <f>J39+J40+14.597+24+0.126</f>
        <v>407.71299999999997</v>
      </c>
      <c r="K41" s="20">
        <f>K39+K40+16.209+25.035+0.134</f>
        <v>412.25100000000003</v>
      </c>
      <c r="L41" s="20">
        <f>L40+27.1</f>
        <v>392.00000000000006</v>
      </c>
      <c r="M41" s="20">
        <f>M39+M40+15.797+20.303+0.15</f>
        <v>358.95599999999996</v>
      </c>
      <c r="N41" s="20">
        <f>N39+N40+11.485+8.603</f>
        <v>343.61600000000004</v>
      </c>
      <c r="O41" s="20">
        <f>O39+O40+11.722+9.451</f>
        <v>345.524</v>
      </c>
      <c r="P41" s="20">
        <f>P39+P40+12.875+10.869+0.17</f>
        <v>348.91400000000004</v>
      </c>
      <c r="Q41" s="20">
        <f>Q39+Q40+14.819+12.279</f>
        <v>352.09800000000001</v>
      </c>
      <c r="R41" s="20">
        <f>R39+R40+8.5</f>
        <v>333.5</v>
      </c>
      <c r="S41" s="20"/>
      <c r="T41" s="20"/>
      <c r="U41" s="20"/>
      <c r="V41" s="20"/>
      <c r="W41" s="20"/>
      <c r="X41" s="20"/>
      <c r="Y41" s="33"/>
      <c r="Z41" s="33"/>
    </row>
    <row r="42" spans="1:27" s="35" customFormat="1">
      <c r="A42" s="34" t="s">
        <v>73</v>
      </c>
      <c r="B42" s="36">
        <v>361.6</v>
      </c>
      <c r="C42" s="36">
        <v>361.6</v>
      </c>
      <c r="D42" s="36">
        <v>361.6</v>
      </c>
      <c r="E42" s="36">
        <v>361.6</v>
      </c>
      <c r="F42" s="36">
        <v>361.6</v>
      </c>
      <c r="G42" s="36">
        <v>361.6</v>
      </c>
      <c r="H42" s="36">
        <v>361.6</v>
      </c>
      <c r="I42" s="36">
        <v>361.6</v>
      </c>
      <c r="J42" s="36">
        <v>361.6</v>
      </c>
      <c r="K42" s="36">
        <v>361.6</v>
      </c>
      <c r="L42" s="36">
        <v>361.6</v>
      </c>
      <c r="M42" s="36">
        <v>357.5</v>
      </c>
      <c r="N42" s="36">
        <v>357.5</v>
      </c>
      <c r="O42" s="36">
        <v>357.5</v>
      </c>
      <c r="P42" s="36">
        <v>357.5</v>
      </c>
      <c r="Q42" s="36">
        <v>357.5</v>
      </c>
      <c r="R42" s="36">
        <v>357.5</v>
      </c>
      <c r="S42" s="36"/>
      <c r="T42" s="36"/>
      <c r="U42" s="36"/>
      <c r="V42" s="36"/>
      <c r="W42" s="36"/>
      <c r="X42" s="36"/>
    </row>
    <row r="43" spans="1:27">
      <c r="B43" s="33"/>
      <c r="C43" s="33"/>
      <c r="D43" s="33"/>
      <c r="E43" s="35"/>
      <c r="F43" s="35"/>
      <c r="G43" s="35"/>
      <c r="H43" s="35"/>
      <c r="I43" s="35"/>
      <c r="J43" s="35"/>
      <c r="K43" s="35"/>
      <c r="L43" s="35"/>
      <c r="M43" s="35"/>
      <c r="N43" s="35"/>
      <c r="O43" s="35"/>
      <c r="P43" s="35"/>
      <c r="Q43" s="35"/>
      <c r="R43" s="35"/>
      <c r="S43" s="35"/>
    </row>
    <row r="44" spans="1:27">
      <c r="A44" s="19" t="s">
        <v>74</v>
      </c>
      <c r="B44" s="28">
        <v>82.427999999999997</v>
      </c>
      <c r="C44" s="28">
        <v>88.081000000000003</v>
      </c>
      <c r="D44" s="28">
        <v>72.293999999999997</v>
      </c>
      <c r="E44" s="28">
        <v>64.352000000000004</v>
      </c>
      <c r="F44" s="28">
        <v>74.097999999999999</v>
      </c>
      <c r="G44" s="28">
        <v>10.5</v>
      </c>
      <c r="H44" s="28">
        <f>33.981-17</f>
        <v>16.981000000000002</v>
      </c>
      <c r="I44" s="28">
        <f>43.5-17</f>
        <v>26.5</v>
      </c>
      <c r="J44" s="28">
        <v>33.305</v>
      </c>
      <c r="K44" s="28">
        <v>34.805999999999997</v>
      </c>
      <c r="L44" s="28">
        <v>18.100000000000001</v>
      </c>
      <c r="M44" s="28">
        <v>11.055999999999999</v>
      </c>
      <c r="N44" s="28">
        <v>6.2359999999999998</v>
      </c>
      <c r="O44" s="28">
        <v>4.3109999999999999</v>
      </c>
      <c r="P44" s="28">
        <v>2.4159999999999999</v>
      </c>
      <c r="Q44" s="28">
        <v>22.265000000000001</v>
      </c>
      <c r="R44" s="28">
        <v>10</v>
      </c>
      <c r="S44" s="28">
        <v>26.733000000000001</v>
      </c>
      <c r="T44" s="28">
        <v>12.680999999999999</v>
      </c>
      <c r="U44" s="28">
        <v>18.803999999999998</v>
      </c>
      <c r="V44" s="28"/>
      <c r="W44" s="28"/>
      <c r="X44" s="28"/>
      <c r="AA44" s="33"/>
    </row>
    <row r="46" spans="1:27">
      <c r="A46" s="14" t="s">
        <v>75</v>
      </c>
      <c r="B46" s="33">
        <f t="shared" ref="B46:H46" si="30">C46+B12-F12</f>
        <v>804.95799999999997</v>
      </c>
      <c r="C46" s="33">
        <f t="shared" si="30"/>
        <v>807.78899999999999</v>
      </c>
      <c r="D46" s="33">
        <f t="shared" si="30"/>
        <v>800.60200000000009</v>
      </c>
      <c r="E46" s="33">
        <f t="shared" si="30"/>
        <v>793.34500000000014</v>
      </c>
      <c r="F46" s="33">
        <f t="shared" si="30"/>
        <v>792.68100000000015</v>
      </c>
      <c r="G46" s="33">
        <f t="shared" si="30"/>
        <v>780.42200000000014</v>
      </c>
      <c r="H46" s="33">
        <f t="shared" si="30"/>
        <v>778.91800000000012</v>
      </c>
      <c r="I46" s="51">
        <v>772.7</v>
      </c>
      <c r="J46" s="33">
        <f>SUM(J12:M12)</f>
        <v>666.46400000000006</v>
      </c>
      <c r="K46" s="33">
        <f t="shared" ref="K46:U46" si="31">SUM(K12:N12)</f>
        <v>641.00300000000004</v>
      </c>
      <c r="L46" s="33">
        <f t="shared" si="31"/>
        <v>606.57899999999995</v>
      </c>
      <c r="M46" s="33">
        <f t="shared" si="31"/>
        <v>588.78200000000004</v>
      </c>
      <c r="N46" s="33">
        <f t="shared" si="31"/>
        <v>578.19799999999998</v>
      </c>
      <c r="O46" s="33">
        <f t="shared" si="31"/>
        <v>562.91300000000001</v>
      </c>
      <c r="P46" s="33">
        <f t="shared" si="31"/>
        <v>550.42999999999995</v>
      </c>
      <c r="Q46" s="33">
        <f t="shared" si="31"/>
        <v>527.68899999999996</v>
      </c>
      <c r="R46" s="33">
        <f t="shared" si="31"/>
        <v>512.7170000000001</v>
      </c>
      <c r="S46" s="33">
        <f t="shared" si="31"/>
        <v>505.245</v>
      </c>
      <c r="T46" s="33">
        <f t="shared" si="31"/>
        <v>489.27100000000002</v>
      </c>
      <c r="U46" s="33">
        <f t="shared" si="31"/>
        <v>465.12900000000002</v>
      </c>
    </row>
    <row r="47" spans="1:27">
      <c r="A47" s="14" t="s">
        <v>76</v>
      </c>
      <c r="B47" s="58">
        <f t="shared" ref="B47" si="32">B27</f>
        <v>111.572</v>
      </c>
      <c r="C47" s="58">
        <f t="shared" ref="C47:D47" si="33">C27</f>
        <v>106.214</v>
      </c>
      <c r="D47" s="58">
        <f t="shared" si="33"/>
        <v>100.602</v>
      </c>
      <c r="E47" s="58">
        <f t="shared" ref="E47:F47" si="34">E27</f>
        <v>98.956000000000003</v>
      </c>
      <c r="F47" s="58">
        <f t="shared" si="34"/>
        <v>101.53700000000001</v>
      </c>
      <c r="G47" s="58">
        <f t="shared" ref="G47:L47" si="35">G27</f>
        <v>111.496</v>
      </c>
      <c r="H47" s="58">
        <f t="shared" si="35"/>
        <v>112.25099999999999</v>
      </c>
      <c r="I47" s="58">
        <f t="shared" si="35"/>
        <v>110.8</v>
      </c>
      <c r="J47" s="58">
        <f t="shared" si="35"/>
        <v>87.558000000000007</v>
      </c>
      <c r="K47" s="58">
        <f t="shared" si="35"/>
        <v>84.643000000000001</v>
      </c>
      <c r="L47" s="58">
        <f t="shared" si="35"/>
        <v>79.599999999999994</v>
      </c>
      <c r="M47" s="33">
        <f t="shared" ref="M47:U47" si="36">+M27</f>
        <v>76.692999999999998</v>
      </c>
      <c r="N47" s="33">
        <f t="shared" si="36"/>
        <v>68.272000000000006</v>
      </c>
      <c r="O47" s="33">
        <f t="shared" si="36"/>
        <v>71.376000000000005</v>
      </c>
      <c r="P47" s="33">
        <f t="shared" si="36"/>
        <v>80.731999999999999</v>
      </c>
      <c r="Q47" s="33">
        <f t="shared" si="36"/>
        <v>72.490999999999985</v>
      </c>
      <c r="R47" s="33">
        <f t="shared" si="36"/>
        <v>64.599999999999994</v>
      </c>
      <c r="S47" s="33">
        <f t="shared" si="36"/>
        <v>44.907000000000004</v>
      </c>
      <c r="T47" s="33">
        <f t="shared" si="36"/>
        <v>44.2</v>
      </c>
      <c r="U47" s="33">
        <f t="shared" si="36"/>
        <v>44.5</v>
      </c>
    </row>
    <row r="48" spans="1:27">
      <c r="A48" s="14" t="s">
        <v>77</v>
      </c>
      <c r="B48" s="33">
        <f t="shared" ref="B48:N48" si="37">+SUM(B37:E37)</f>
        <v>114.6</v>
      </c>
      <c r="C48" s="33">
        <f t="shared" si="37"/>
        <v>105.627</v>
      </c>
      <c r="D48" s="33">
        <f t="shared" si="37"/>
        <v>74.543999999999997</v>
      </c>
      <c r="E48" s="33">
        <f t="shared" si="37"/>
        <v>63.309000000000005</v>
      </c>
      <c r="F48" s="33">
        <f t="shared" si="37"/>
        <v>15.005999999999997</v>
      </c>
      <c r="G48" s="33">
        <f t="shared" si="37"/>
        <v>28.393999999999998</v>
      </c>
      <c r="H48" s="33">
        <f t="shared" si="37"/>
        <v>25.685999999999996</v>
      </c>
      <c r="I48" s="33">
        <f t="shared" si="37"/>
        <v>20.848999999999997</v>
      </c>
      <c r="J48" s="33">
        <f t="shared" si="37"/>
        <v>14.434000000000001</v>
      </c>
      <c r="K48" s="33">
        <f t="shared" si="37"/>
        <v>11.916</v>
      </c>
      <c r="L48" s="33">
        <f t="shared" si="37"/>
        <v>16.929000000000002</v>
      </c>
      <c r="M48" s="33">
        <f t="shared" si="37"/>
        <v>12.867000000000001</v>
      </c>
      <c r="N48" s="33">
        <f t="shared" si="37"/>
        <v>-15.648000000000005</v>
      </c>
      <c r="O48" s="33">
        <f t="shared" ref="O48" si="38">+SUM(O37:R37)</f>
        <v>-10.362000000000005</v>
      </c>
      <c r="P48" s="33">
        <f t="shared" ref="P48:U48" si="39">+SUM(P37:S37)</f>
        <v>4.1799999999999962</v>
      </c>
      <c r="Q48" s="33">
        <f t="shared" si="39"/>
        <v>11.506999999999998</v>
      </c>
      <c r="R48" s="33">
        <f t="shared" si="39"/>
        <v>37.33</v>
      </c>
      <c r="S48" s="33">
        <f t="shared" si="39"/>
        <v>45.944000000000003</v>
      </c>
      <c r="T48" s="33">
        <f t="shared" si="39"/>
        <v>22.652000000000005</v>
      </c>
      <c r="U48" s="33">
        <f t="shared" si="39"/>
        <v>39.812000000000005</v>
      </c>
    </row>
    <row r="50" spans="1:24" s="37" customFormat="1">
      <c r="A50" s="37" t="s">
        <v>78</v>
      </c>
      <c r="B50" s="37">
        <f t="shared" ref="B50:C50" si="40">+SUM(B39:B40)/B47</f>
        <v>5.2125174775033152</v>
      </c>
      <c r="C50" s="37">
        <f t="shared" si="40"/>
        <v>5.4800026361873204</v>
      </c>
      <c r="D50" s="37">
        <f t="shared" ref="D50:E50" si="41">+SUM(D39:D40)/D47</f>
        <v>5.8628357289119499</v>
      </c>
      <c r="E50" s="37">
        <f t="shared" si="41"/>
        <v>5.9361534419337882</v>
      </c>
      <c r="F50" s="37">
        <f t="shared" ref="F50:G50" si="42">+SUM(F39:F40)/F47</f>
        <v>6.5452101204487034</v>
      </c>
      <c r="G50" s="37">
        <f t="shared" si="42"/>
        <v>5.2893018583626317</v>
      </c>
      <c r="H50" s="37">
        <f t="shared" ref="H50:I50" si="43">+SUM(H39:H40)/H47</f>
        <v>5.2209868954396841</v>
      </c>
      <c r="I50" s="37">
        <f t="shared" si="43"/>
        <v>5.2617328519855597</v>
      </c>
      <c r="J50" s="37">
        <f t="shared" ref="J50:K50" si="44">+SUM(J39:J40)/J47</f>
        <v>4.2142351355672805</v>
      </c>
      <c r="K50" s="37">
        <f t="shared" si="44"/>
        <v>4.3816145457982349</v>
      </c>
      <c r="L50" s="37">
        <f t="shared" ref="L50:O50" si="45">+SUM(L39:L40)/L47</f>
        <v>4.584170854271358</v>
      </c>
      <c r="M50" s="37">
        <f t="shared" si="45"/>
        <v>4.2077634203903873</v>
      </c>
      <c r="N50" s="37">
        <f t="shared" si="45"/>
        <v>4.7388094680103112</v>
      </c>
      <c r="O50" s="37">
        <f t="shared" si="45"/>
        <v>4.5442585743106925</v>
      </c>
      <c r="P50" s="37">
        <f>+SUM(P39:P40)/P47</f>
        <v>4.0256651637516718</v>
      </c>
      <c r="Q50" s="37">
        <f>+SUM(Q39:Q40)/Q47</f>
        <v>4.483315170159055</v>
      </c>
      <c r="R50" s="37">
        <f>+SUM(R39:R40)/R47</f>
        <v>5.0309597523219818</v>
      </c>
    </row>
    <row r="51" spans="1:24" s="37" customFormat="1">
      <c r="A51" s="37" t="s">
        <v>79</v>
      </c>
      <c r="B51" s="37">
        <f t="shared" ref="B51:C51" si="46">+B41/B47</f>
        <v>5.2971085935539373</v>
      </c>
      <c r="C51" s="37">
        <f t="shared" si="46"/>
        <v>5.5671286271113036</v>
      </c>
      <c r="D51" s="37">
        <f t="shared" ref="D51:E51" si="47">+D41/D47</f>
        <v>6.0269278940776516</v>
      </c>
      <c r="E51" s="37">
        <f t="shared" si="47"/>
        <v>6.1386272686850729</v>
      </c>
      <c r="F51" s="37">
        <f t="shared" ref="F51:G51" si="48">+F41/F47</f>
        <v>6.7251248313422698</v>
      </c>
      <c r="G51" s="37">
        <f t="shared" si="48"/>
        <v>5.4823401736385167</v>
      </c>
      <c r="H51" s="37">
        <f t="shared" ref="H51:I51" si="49">+H41/H47</f>
        <v>5.390250420931662</v>
      </c>
      <c r="I51" s="37">
        <f t="shared" si="49"/>
        <v>5.4332129963898916</v>
      </c>
      <c r="J51" s="37">
        <f t="shared" ref="J51:K51" si="50">+J41/J47</f>
        <v>4.6564905548322244</v>
      </c>
      <c r="K51" s="37">
        <f t="shared" si="50"/>
        <v>4.8704677291683902</v>
      </c>
      <c r="L51" s="37">
        <f t="shared" ref="L51:O51" si="51">+L41/L47</f>
        <v>4.9246231155778908</v>
      </c>
      <c r="M51" s="37">
        <f t="shared" si="51"/>
        <v>4.6804271576284666</v>
      </c>
      <c r="N51" s="37">
        <f t="shared" si="51"/>
        <v>5.0330442934145774</v>
      </c>
      <c r="O51" s="37">
        <f t="shared" si="51"/>
        <v>4.8408989015915713</v>
      </c>
      <c r="P51" s="37">
        <f>+P41/P47</f>
        <v>4.3218797998315424</v>
      </c>
      <c r="Q51" s="37">
        <f>+Q41/Q47</f>
        <v>4.8571270916389633</v>
      </c>
      <c r="R51" s="37">
        <f>+R41/R47</f>
        <v>5.162538699690403</v>
      </c>
    </row>
    <row r="52" spans="1:24" s="37" customFormat="1">
      <c r="A52" s="37" t="s">
        <v>80</v>
      </c>
      <c r="B52" s="37">
        <f t="shared" ref="B52:C52" si="52">+(B41-B44)/B47</f>
        <v>4.5583210841429738</v>
      </c>
      <c r="C52" s="37">
        <f t="shared" si="52"/>
        <v>4.7378500009414957</v>
      </c>
      <c r="D52" s="37">
        <f t="shared" ref="D52:E52" si="53">+(D41-D44)/D47</f>
        <v>5.3083139500208736</v>
      </c>
      <c r="E52" s="37">
        <f t="shared" si="53"/>
        <v>5.4883180403411629</v>
      </c>
      <c r="F52" s="37">
        <f t="shared" ref="F52:G52" si="54">+(F41-F44)/F47</f>
        <v>5.9953612968671521</v>
      </c>
      <c r="G52" s="37">
        <f t="shared" si="54"/>
        <v>5.3881663916194302</v>
      </c>
      <c r="H52" s="37">
        <f t="shared" ref="H52:I52" si="55">+(H41-H44)/H47</f>
        <v>5.2389733721748577</v>
      </c>
      <c r="I52" s="37">
        <f t="shared" si="55"/>
        <v>5.1940433212996391</v>
      </c>
      <c r="J52" s="37">
        <f t="shared" ref="J52:K52" si="56">+(J41-J44)/J47</f>
        <v>4.2761141186413569</v>
      </c>
      <c r="K52" s="37">
        <f t="shared" si="56"/>
        <v>4.4592582966104706</v>
      </c>
      <c r="L52" s="37">
        <f t="shared" ref="L52:O52" si="57">+(L41-L44)/L47</f>
        <v>4.6972361809045236</v>
      </c>
      <c r="M52" s="37">
        <f t="shared" si="57"/>
        <v>4.5362679775207644</v>
      </c>
      <c r="N52" s="37">
        <f t="shared" si="57"/>
        <v>4.9417037731427236</v>
      </c>
      <c r="O52" s="37">
        <f t="shared" si="57"/>
        <v>4.7805004483299705</v>
      </c>
      <c r="P52" s="37">
        <f>+(P41-P44)/P47</f>
        <v>4.2919536243373146</v>
      </c>
      <c r="Q52" s="37">
        <f>+(Q41-Q44)/Q47</f>
        <v>4.5499855154432973</v>
      </c>
      <c r="R52" s="37">
        <f>+(R41-R44)/R47</f>
        <v>5.0077399380804959</v>
      </c>
    </row>
    <row r="53" spans="1:24" s="38" customFormat="1">
      <c r="A53" s="38" t="s">
        <v>81</v>
      </c>
      <c r="B53" s="38">
        <f t="shared" ref="B53:C53" si="58">+B48/B41</f>
        <v>0.1939056765633011</v>
      </c>
      <c r="C53" s="38">
        <f t="shared" si="58"/>
        <v>0.17863309583684955</v>
      </c>
      <c r="D53" s="38">
        <f t="shared" ref="D53:E53" si="59">+D48/D41</f>
        <v>0.12294477677665792</v>
      </c>
      <c r="E53" s="38">
        <f t="shared" si="59"/>
        <v>0.1042202372525327</v>
      </c>
      <c r="F53" s="38">
        <f t="shared" ref="F53:G53" si="60">+F48/F41</f>
        <v>2.1975575859377396E-2</v>
      </c>
      <c r="G53" s="38">
        <f t="shared" si="60"/>
        <v>4.6451667787304557E-2</v>
      </c>
      <c r="H53" s="38">
        <f t="shared" ref="H53:I53" si="61">+H48/H41</f>
        <v>4.2451918071070523E-2</v>
      </c>
      <c r="I53" s="38">
        <f t="shared" si="61"/>
        <v>3.4632890365448497E-2</v>
      </c>
      <c r="J53" s="38">
        <f t="shared" ref="J53:K53" si="62">+J48/J41</f>
        <v>3.540235410693307E-2</v>
      </c>
      <c r="K53" s="38">
        <f t="shared" si="62"/>
        <v>2.8904720667748532E-2</v>
      </c>
      <c r="L53" s="38">
        <f t="shared" ref="L53:O53" si="63">+L48/L41</f>
        <v>4.3186224489795914E-2</v>
      </c>
      <c r="M53" s="38">
        <f t="shared" si="63"/>
        <v>3.5845618961655473E-2</v>
      </c>
      <c r="N53" s="38">
        <f t="shared" si="63"/>
        <v>-4.5539206556155717E-2</v>
      </c>
      <c r="O53" s="38">
        <f t="shared" si="63"/>
        <v>-2.9989233743531581E-2</v>
      </c>
      <c r="P53" s="38">
        <f>+P48/P41</f>
        <v>1.1980029462847566E-2</v>
      </c>
      <c r="Q53" s="38">
        <f>+Q48/Q41</f>
        <v>3.2681242154172979E-2</v>
      </c>
      <c r="R53" s="38">
        <f>+R48/R41</f>
        <v>0.11193403298350824</v>
      </c>
    </row>
    <row r="54" spans="1:24" s="38" customFormat="1">
      <c r="A54" s="39" t="s">
        <v>82</v>
      </c>
      <c r="B54" s="40"/>
      <c r="C54" s="40"/>
      <c r="D54" s="40"/>
      <c r="E54" s="40"/>
      <c r="F54" s="40"/>
      <c r="G54" s="40"/>
      <c r="H54" s="40"/>
      <c r="I54" s="40"/>
      <c r="J54" s="40"/>
      <c r="K54" s="40"/>
      <c r="L54" s="40"/>
      <c r="M54" s="40"/>
      <c r="N54" s="40"/>
      <c r="O54" s="40"/>
      <c r="P54" s="40"/>
      <c r="Q54" s="40"/>
      <c r="R54" s="40"/>
      <c r="S54" s="40"/>
      <c r="T54" s="40"/>
      <c r="U54" s="40"/>
      <c r="V54" s="39"/>
      <c r="W54" s="39"/>
      <c r="X54" s="39"/>
    </row>
    <row r="55" spans="1:24" s="38" customFormat="1">
      <c r="A55" s="38" t="s">
        <v>83</v>
      </c>
      <c r="B55" s="41">
        <f t="shared" ref="B55:C55" si="64">IF(B42=0,IF(B54="","","*"&amp;TEXT(B54,"0.0x")),(B41+B42-B44)/B47)</f>
        <v>7.7992775965295946</v>
      </c>
      <c r="C55" s="41">
        <f t="shared" si="64"/>
        <v>8.1422976255484212</v>
      </c>
      <c r="D55" s="41">
        <f t="shared" ref="D55:E55" si="65">IF(D42=0,IF(D54="","","*"&amp;TEXT(D54,"0.0x")),(D41+D42-D44)/D47)</f>
        <v>8.9026758911353649</v>
      </c>
      <c r="E55" s="41">
        <f t="shared" si="65"/>
        <v>9.1424673592303662</v>
      </c>
      <c r="F55" s="41">
        <f t="shared" ref="F55:G55" si="66">IF(F42=0,IF(F54="","","*"&amp;TEXT(F54,"0.0x")),(F41+F42-F44)/F47)</f>
        <v>9.5566246786885571</v>
      </c>
      <c r="G55" s="41">
        <f t="shared" si="66"/>
        <v>8.6313320657243313</v>
      </c>
      <c r="H55" s="41">
        <f t="shared" ref="H55:I55" si="67">IF(H42=0,IF(H54="","","*"&amp;TEXT(H54,"0.0x")),(H41+H42-H44)/H47)</f>
        <v>8.4603255204853411</v>
      </c>
      <c r="I55" s="41">
        <f t="shared" si="67"/>
        <v>8.4575812274368243</v>
      </c>
      <c r="J55" s="41">
        <f t="shared" ref="J55:K55" si="68">IF(J42=0,IF(J54="","","*"&amp;TEXT(J54,"0.0x")),(J41+J42-J44)/J47)</f>
        <v>8.4059480572877412</v>
      </c>
      <c r="K55" s="41">
        <f t="shared" si="68"/>
        <v>8.7313185969306382</v>
      </c>
      <c r="L55" s="41">
        <f t="shared" ref="L55:U55" si="69">IF(L42=0,IF(L54="","","*"&amp;TEXT(L54,"0.0x")),(L41+L42-L44)/L47)</f>
        <v>9.2399497487437205</v>
      </c>
      <c r="M55" s="41">
        <f t="shared" si="69"/>
        <v>9.1977103516618186</v>
      </c>
      <c r="N55" s="41">
        <f t="shared" si="69"/>
        <v>10.178111085071478</v>
      </c>
      <c r="O55" s="41">
        <f t="shared" si="69"/>
        <v>9.7891868415153542</v>
      </c>
      <c r="P55" s="41">
        <f t="shared" si="69"/>
        <v>8.7201853044641524</v>
      </c>
      <c r="Q55" s="41">
        <f t="shared" si="69"/>
        <v>9.4816322026182576</v>
      </c>
      <c r="R55" s="41">
        <f t="shared" si="69"/>
        <v>10.541795665634677</v>
      </c>
      <c r="S55" s="41" t="str">
        <f t="shared" si="69"/>
        <v/>
      </c>
      <c r="T55" s="41" t="str">
        <f t="shared" si="69"/>
        <v/>
      </c>
      <c r="U55" s="41" t="str">
        <f t="shared" si="69"/>
        <v/>
      </c>
      <c r="V55" s="41" t="str">
        <f>IF(V42=0,IF(V54="","",CONCATENATE("* ",V54,"x")),(V41+V42-V44)/V47)</f>
        <v/>
      </c>
      <c r="W55" s="41" t="str">
        <f>IF(W42=0,IF(W54="","",CONCATENATE("* ",W54,"x")),(W41+W42-W44)/W47)</f>
        <v/>
      </c>
      <c r="X55" s="41" t="str">
        <f>IF(X42=0,IF(X54="","",CONCATENATE("* ",X54,"x")),(X41+X42-X44)/X47)</f>
        <v/>
      </c>
    </row>
    <row r="56" spans="1:24">
      <c r="U56" s="42"/>
    </row>
    <row r="57" spans="1:24" ht="80.25" customHeight="1">
      <c r="A57" s="43" t="s">
        <v>84</v>
      </c>
      <c r="B57" s="44" t="s">
        <v>289</v>
      </c>
      <c r="C57" s="44" t="s">
        <v>289</v>
      </c>
      <c r="D57" s="44" t="s">
        <v>289</v>
      </c>
      <c r="E57" s="44" t="s">
        <v>289</v>
      </c>
      <c r="F57" s="44" t="s">
        <v>289</v>
      </c>
      <c r="G57" s="44" t="s">
        <v>289</v>
      </c>
      <c r="H57" s="44" t="s">
        <v>522</v>
      </c>
      <c r="I57" s="44" t="s">
        <v>289</v>
      </c>
      <c r="J57" s="44" t="s">
        <v>289</v>
      </c>
      <c r="K57" s="44" t="s">
        <v>413</v>
      </c>
      <c r="L57" s="44"/>
      <c r="M57" s="44"/>
      <c r="N57" s="44"/>
      <c r="O57" s="44"/>
      <c r="P57" s="44"/>
      <c r="Q57" s="44"/>
      <c r="R57" s="44" t="s">
        <v>96</v>
      </c>
      <c r="S57" s="44"/>
      <c r="T57" s="44"/>
      <c r="U57" s="44"/>
      <c r="V57" s="44"/>
      <c r="W57" s="44"/>
      <c r="X57" s="44"/>
    </row>
    <row r="58" spans="1:24">
      <c r="A58" s="45"/>
    </row>
    <row r="59" spans="1:24">
      <c r="A59" s="45"/>
    </row>
  </sheetData>
  <pageMargins left="0.7" right="0.7" top="0.75" bottom="0.75" header="0.3" footer="0.3"/>
  <pageSetup orientation="portrait" r:id="rId1"/>
  <ignoredErrors>
    <ignoredError sqref="Q22" formula="1"/>
  </ignoredErrors>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2:AB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1" width="10.6640625" style="14" customWidth="1"/>
    <col min="12" max="25" width="10.6640625" style="14" hidden="1" customWidth="1"/>
    <col min="26" max="26" width="9.109375" style="14"/>
    <col min="27" max="27" width="9.44140625" style="14" bestFit="1" customWidth="1"/>
    <col min="28" max="16384" width="9.109375" style="14"/>
  </cols>
  <sheetData>
    <row r="2" spans="1:25">
      <c r="A2" s="13" t="s">
        <v>44</v>
      </c>
      <c r="B2" s="14" t="s">
        <v>513</v>
      </c>
    </row>
    <row r="3" spans="1:25" s="16" customFormat="1">
      <c r="A3" s="15" t="s">
        <v>45</v>
      </c>
      <c r="B3" s="16" t="s">
        <v>93</v>
      </c>
    </row>
    <row r="4" spans="1:25">
      <c r="A4" s="13" t="s">
        <v>2</v>
      </c>
      <c r="B4" s="14" t="s">
        <v>4</v>
      </c>
    </row>
    <row r="5" spans="1:25">
      <c r="A5" s="13" t="s">
        <v>46</v>
      </c>
    </row>
    <row r="6" spans="1:25">
      <c r="A6" s="13" t="s">
        <v>47</v>
      </c>
      <c r="B6" s="14">
        <v>3</v>
      </c>
    </row>
    <row r="7" spans="1:25">
      <c r="A7" s="13" t="s">
        <v>48</v>
      </c>
      <c r="B7" s="14" t="s">
        <v>243</v>
      </c>
    </row>
    <row r="8" spans="1:25">
      <c r="A8" s="13" t="s">
        <v>347</v>
      </c>
      <c r="B8" s="14" t="s">
        <v>361</v>
      </c>
    </row>
    <row r="9" spans="1:25">
      <c r="A9" s="17"/>
    </row>
    <row r="10" spans="1:25">
      <c r="A10" s="17" t="s">
        <v>49</v>
      </c>
      <c r="B10" s="18">
        <v>44377</v>
      </c>
      <c r="C10" s="18">
        <v>44286</v>
      </c>
      <c r="D10" s="18">
        <v>44196</v>
      </c>
      <c r="E10" s="18">
        <v>44104</v>
      </c>
      <c r="F10" s="18">
        <v>44012</v>
      </c>
      <c r="G10" s="18">
        <v>43921</v>
      </c>
      <c r="H10" s="18">
        <v>43830</v>
      </c>
      <c r="I10" s="18">
        <v>43738</v>
      </c>
      <c r="J10" s="18">
        <v>43646</v>
      </c>
      <c r="K10" s="18">
        <v>43555</v>
      </c>
      <c r="L10" s="18">
        <v>43465</v>
      </c>
      <c r="M10" s="18">
        <v>43373</v>
      </c>
      <c r="N10" s="18">
        <v>43281</v>
      </c>
      <c r="O10" s="18">
        <v>43190</v>
      </c>
      <c r="P10" s="18">
        <v>43100</v>
      </c>
      <c r="Q10" s="18">
        <v>43008</v>
      </c>
      <c r="R10" s="18">
        <v>42916</v>
      </c>
      <c r="S10" s="18">
        <v>42825</v>
      </c>
      <c r="T10" s="18">
        <v>42735</v>
      </c>
      <c r="U10" s="18">
        <v>42643</v>
      </c>
      <c r="V10" s="18">
        <v>42551</v>
      </c>
      <c r="W10" s="18">
        <v>42460</v>
      </c>
      <c r="X10" s="18">
        <v>42369</v>
      </c>
      <c r="Y10" s="18">
        <v>42277</v>
      </c>
    </row>
    <row r="12" spans="1:25">
      <c r="A12" s="19" t="s">
        <v>50</v>
      </c>
      <c r="B12" s="20">
        <v>258.59899999999999</v>
      </c>
      <c r="C12" s="20">
        <v>227.458</v>
      </c>
      <c r="D12" s="20">
        <v>246.99</v>
      </c>
      <c r="E12" s="20">
        <v>267.767</v>
      </c>
      <c r="F12" s="20">
        <v>254.45500000000001</v>
      </c>
      <c r="G12" s="20">
        <v>198.97399999999999</v>
      </c>
      <c r="H12" s="20">
        <v>202.809</v>
      </c>
      <c r="I12" s="20">
        <v>216.16499999999999</v>
      </c>
      <c r="J12" s="20">
        <v>206.05600000000001</v>
      </c>
      <c r="K12" s="20">
        <v>171.54400000000001</v>
      </c>
      <c r="L12" s="20">
        <v>228.12</v>
      </c>
      <c r="M12" s="20">
        <v>195.89699999999999</v>
      </c>
      <c r="N12" s="20">
        <v>181.38900000000001</v>
      </c>
      <c r="O12" s="20">
        <v>149.94399999999999</v>
      </c>
      <c r="P12" s="20">
        <v>165.43899999999999</v>
      </c>
      <c r="Q12" s="20">
        <v>165.8</v>
      </c>
      <c r="R12" s="20">
        <v>123.727</v>
      </c>
      <c r="S12" s="20">
        <v>100.343</v>
      </c>
      <c r="T12" s="20">
        <v>118.486</v>
      </c>
      <c r="U12" s="20">
        <v>121.39</v>
      </c>
      <c r="V12" s="20">
        <v>114.717</v>
      </c>
      <c r="W12" s="20">
        <v>92.025999999999996</v>
      </c>
      <c r="X12" s="20">
        <v>110.88500000000001</v>
      </c>
      <c r="Y12" s="20">
        <v>111.848</v>
      </c>
    </row>
    <row r="13" spans="1:25" s="21" customFormat="1">
      <c r="A13" s="21" t="s">
        <v>51</v>
      </c>
      <c r="B13" s="21">
        <f t="shared" ref="B13:P13" si="0">+B12/F12-1</f>
        <v>1.628578727083374E-2</v>
      </c>
      <c r="C13" s="21">
        <f t="shared" si="0"/>
        <v>0.1431543819795551</v>
      </c>
      <c r="D13" s="21">
        <f t="shared" si="0"/>
        <v>0.21784536189222381</v>
      </c>
      <c r="E13" s="21">
        <f t="shared" si="0"/>
        <v>0.23871579580413105</v>
      </c>
      <c r="F13" s="21">
        <f t="shared" si="0"/>
        <v>0.23488275032030126</v>
      </c>
      <c r="G13" s="21">
        <f t="shared" si="0"/>
        <v>0.15990066688429772</v>
      </c>
      <c r="H13" s="21">
        <f t="shared" si="0"/>
        <v>-0.11095476065228826</v>
      </c>
      <c r="I13" s="21">
        <f t="shared" si="0"/>
        <v>0.10346253388260163</v>
      </c>
      <c r="J13" s="21">
        <f t="shared" si="0"/>
        <v>0.13598950322235637</v>
      </c>
      <c r="K13" s="21">
        <f t="shared" si="0"/>
        <v>0.14405378007789582</v>
      </c>
      <c r="L13" s="21">
        <f t="shared" si="0"/>
        <v>0.37887680655709977</v>
      </c>
      <c r="M13" s="21">
        <f t="shared" si="0"/>
        <v>0.18152593486127855</v>
      </c>
      <c r="N13" s="21">
        <f t="shared" si="0"/>
        <v>0.46604217349487187</v>
      </c>
      <c r="O13" s="21">
        <f t="shared" si="0"/>
        <v>0.49431450126067578</v>
      </c>
      <c r="P13" s="21">
        <f t="shared" si="0"/>
        <v>0.39627466536130851</v>
      </c>
      <c r="Q13" s="21">
        <f>+Q12/U12-1</f>
        <v>0.36584562155037492</v>
      </c>
      <c r="R13" s="21">
        <f>+R12/V12-1</f>
        <v>7.8541105503107778E-2</v>
      </c>
      <c r="S13" s="21">
        <f>+S12/W12-1</f>
        <v>9.0376632690761349E-2</v>
      </c>
      <c r="T13" s="21">
        <f>+T12/X12-1</f>
        <v>6.8548496189746011E-2</v>
      </c>
      <c r="U13" s="21">
        <f>+U12/Y12-1</f>
        <v>8.5312209427079733E-2</v>
      </c>
    </row>
    <row r="14" spans="1:25"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t="s">
        <v>3</v>
      </c>
      <c r="P14" s="23" t="s">
        <v>3</v>
      </c>
      <c r="Q14" s="23" t="s">
        <v>3</v>
      </c>
      <c r="R14" s="23" t="s">
        <v>3</v>
      </c>
      <c r="S14" s="23" t="s">
        <v>3</v>
      </c>
      <c r="T14" s="23" t="s">
        <v>3</v>
      </c>
      <c r="U14" s="23" t="s">
        <v>3</v>
      </c>
      <c r="V14" s="22"/>
      <c r="W14" s="22"/>
      <c r="X14" s="22"/>
      <c r="Y14" s="22"/>
    </row>
    <row r="16" spans="1:25" s="17" customFormat="1">
      <c r="A16" s="25" t="s">
        <v>53</v>
      </c>
      <c r="B16" s="26">
        <v>89.866</v>
      </c>
      <c r="C16" s="26">
        <v>67.465999999999994</v>
      </c>
      <c r="D16" s="26">
        <v>85.191000000000003</v>
      </c>
      <c r="E16" s="26">
        <v>105.816</v>
      </c>
      <c r="F16" s="26">
        <v>85.299000000000007</v>
      </c>
      <c r="G16" s="26">
        <v>42.448</v>
      </c>
      <c r="H16" s="26">
        <v>50.999000000000002</v>
      </c>
      <c r="I16" s="26">
        <v>62.7</v>
      </c>
      <c r="J16" s="26">
        <v>58.164000000000001</v>
      </c>
      <c r="K16" s="26">
        <v>38.070999999999998</v>
      </c>
      <c r="L16" s="26">
        <v>66.388999999999996</v>
      </c>
      <c r="M16" s="26">
        <v>52.064</v>
      </c>
      <c r="N16" s="26">
        <v>46.137</v>
      </c>
      <c r="O16" s="26">
        <v>24.908000000000001</v>
      </c>
      <c r="P16" s="26">
        <v>38.805</v>
      </c>
      <c r="Q16" s="26">
        <v>47.7</v>
      </c>
      <c r="R16" s="26">
        <v>31.390999999999998</v>
      </c>
      <c r="S16" s="26">
        <v>17.510000000000002</v>
      </c>
      <c r="T16" s="26">
        <v>28.898</v>
      </c>
      <c r="U16" s="26">
        <v>33.551000000000002</v>
      </c>
      <c r="V16" s="26">
        <v>29.838000000000001</v>
      </c>
      <c r="W16" s="26">
        <v>16.395</v>
      </c>
      <c r="X16" s="26">
        <v>24.518999999999998</v>
      </c>
      <c r="Y16" s="26">
        <v>29.446999999999999</v>
      </c>
    </row>
    <row r="17" spans="1:27" s="21" customFormat="1">
      <c r="A17" s="21" t="s">
        <v>54</v>
      </c>
      <c r="B17" s="21">
        <f t="shared" ref="B17" si="1">+B16/B12</f>
        <v>0.34751101125681078</v>
      </c>
      <c r="C17" s="21">
        <f t="shared" ref="C17:D17" si="2">+C16/C12</f>
        <v>0.29660860466547667</v>
      </c>
      <c r="D17" s="21">
        <f t="shared" si="2"/>
        <v>0.34491679825094135</v>
      </c>
      <c r="E17" s="21">
        <f t="shared" ref="E17:F17" si="3">+E16/E12</f>
        <v>0.39517939103773059</v>
      </c>
      <c r="F17" s="21">
        <f t="shared" si="3"/>
        <v>0.33522233793794581</v>
      </c>
      <c r="G17" s="21">
        <f t="shared" ref="G17:H17" si="4">+G16/G12</f>
        <v>0.21333440550021612</v>
      </c>
      <c r="H17" s="21">
        <f t="shared" si="4"/>
        <v>0.25146319936491973</v>
      </c>
      <c r="I17" s="21">
        <f t="shared" ref="I17:J17" si="5">+I16/I12</f>
        <v>0.29005620706404833</v>
      </c>
      <c r="J17" s="21">
        <f t="shared" si="5"/>
        <v>0.28227278021508717</v>
      </c>
      <c r="K17" s="21">
        <f t="shared" ref="K17:L17" si="6">+K16/K12</f>
        <v>0.22193139952432026</v>
      </c>
      <c r="L17" s="21">
        <f t="shared" si="6"/>
        <v>0.29102665263896194</v>
      </c>
      <c r="M17" s="21">
        <f t="shared" ref="M17:P17" si="7">+M16/M12</f>
        <v>0.26577231912688815</v>
      </c>
      <c r="N17" s="21">
        <f t="shared" si="7"/>
        <v>0.25435390238658351</v>
      </c>
      <c r="O17" s="21">
        <f t="shared" si="7"/>
        <v>0.1661153497305661</v>
      </c>
      <c r="P17" s="21">
        <f t="shared" si="7"/>
        <v>0.23455775240420942</v>
      </c>
      <c r="Q17" s="21">
        <f>+Q16/Q12</f>
        <v>0.28769601930036187</v>
      </c>
      <c r="R17" s="21">
        <f>+R16/R12</f>
        <v>0.25371180098119245</v>
      </c>
      <c r="S17" s="21">
        <f t="shared" ref="S17:Y17" si="8">+S16/S12</f>
        <v>0.17450145999222666</v>
      </c>
      <c r="T17" s="21">
        <f t="shared" si="8"/>
        <v>0.24389379335955302</v>
      </c>
      <c r="U17" s="21">
        <f t="shared" si="8"/>
        <v>0.27639014745860452</v>
      </c>
      <c r="V17" s="21">
        <f t="shared" si="8"/>
        <v>0.26010094406234474</v>
      </c>
      <c r="W17" s="21">
        <f t="shared" si="8"/>
        <v>0.17815617325538435</v>
      </c>
      <c r="X17" s="21">
        <f t="shared" si="8"/>
        <v>0.22112098119673534</v>
      </c>
      <c r="Y17" s="21">
        <f t="shared" si="8"/>
        <v>0.26327694728560186</v>
      </c>
      <c r="AA17" s="38"/>
    </row>
    <row r="18" spans="1:27" s="24" customFormat="1"/>
    <row r="19" spans="1:27"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c r="Y19" s="20">
        <v>0</v>
      </c>
    </row>
    <row r="20" spans="1:27"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c r="Y20" s="20">
        <v>0</v>
      </c>
    </row>
    <row r="21" spans="1:27"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row>
    <row r="22" spans="1:27" s="17" customFormat="1">
      <c r="A22" s="17" t="s">
        <v>58</v>
      </c>
      <c r="B22" s="27">
        <f t="shared" ref="B22" si="9">SUM(B16,B19:B21)</f>
        <v>89.866</v>
      </c>
      <c r="C22" s="27">
        <f t="shared" ref="C22:D22" si="10">SUM(C16,C19:C21)</f>
        <v>67.465999999999994</v>
      </c>
      <c r="D22" s="27">
        <f t="shared" si="10"/>
        <v>85.191000000000003</v>
      </c>
      <c r="E22" s="27">
        <f t="shared" ref="E22:F22" si="11">SUM(E16,E19:E21)</f>
        <v>105.816</v>
      </c>
      <c r="F22" s="27">
        <f t="shared" si="11"/>
        <v>85.299000000000007</v>
      </c>
      <c r="G22" s="27">
        <f t="shared" ref="G22:H22" si="12">SUM(G16,G19:G21)</f>
        <v>42.448</v>
      </c>
      <c r="H22" s="27">
        <f t="shared" si="12"/>
        <v>50.999000000000002</v>
      </c>
      <c r="I22" s="27">
        <f t="shared" ref="I22:J22" si="13">SUM(I16,I19:I21)</f>
        <v>62.7</v>
      </c>
      <c r="J22" s="27">
        <f t="shared" si="13"/>
        <v>58.164000000000001</v>
      </c>
      <c r="K22" s="27">
        <f t="shared" ref="K22:L22" si="14">SUM(K16,K19:K21)</f>
        <v>38.070999999999998</v>
      </c>
      <c r="L22" s="27">
        <f t="shared" si="14"/>
        <v>66.388999999999996</v>
      </c>
      <c r="M22" s="27">
        <f t="shared" ref="M22:Y22" si="15">SUM(M16,M19:M21)</f>
        <v>52.064</v>
      </c>
      <c r="N22" s="27">
        <f t="shared" si="15"/>
        <v>46.137</v>
      </c>
      <c r="O22" s="27">
        <f t="shared" si="15"/>
        <v>24.908000000000001</v>
      </c>
      <c r="P22" s="27">
        <f t="shared" si="15"/>
        <v>38.805</v>
      </c>
      <c r="Q22" s="27">
        <f t="shared" si="15"/>
        <v>47.7</v>
      </c>
      <c r="R22" s="27">
        <f t="shared" si="15"/>
        <v>31.390999999999998</v>
      </c>
      <c r="S22" s="27">
        <f t="shared" si="15"/>
        <v>17.510000000000002</v>
      </c>
      <c r="T22" s="27">
        <f t="shared" si="15"/>
        <v>28.898</v>
      </c>
      <c r="U22" s="27">
        <f t="shared" si="15"/>
        <v>33.551000000000002</v>
      </c>
      <c r="V22" s="27">
        <f t="shared" si="15"/>
        <v>29.838000000000001</v>
      </c>
      <c r="W22" s="27">
        <f t="shared" si="15"/>
        <v>16.395</v>
      </c>
      <c r="X22" s="27">
        <f t="shared" si="15"/>
        <v>24.518999999999998</v>
      </c>
      <c r="Y22" s="27">
        <f t="shared" si="15"/>
        <v>29.446999999999999</v>
      </c>
    </row>
    <row r="23" spans="1:27" s="17" customFormat="1">
      <c r="B23" s="21"/>
      <c r="C23" s="21"/>
      <c r="D23" s="21"/>
      <c r="E23" s="21"/>
      <c r="F23" s="21"/>
      <c r="G23" s="21"/>
      <c r="H23" s="21"/>
      <c r="I23" s="21"/>
      <c r="J23" s="21"/>
      <c r="K23" s="21"/>
      <c r="L23" s="21"/>
      <c r="M23" s="21"/>
      <c r="N23" s="27"/>
      <c r="O23" s="27"/>
      <c r="P23" s="27"/>
      <c r="Q23" s="27"/>
      <c r="R23" s="27"/>
      <c r="S23" s="27"/>
      <c r="T23" s="27"/>
      <c r="U23" s="27"/>
      <c r="V23" s="27"/>
      <c r="W23" s="27"/>
      <c r="X23" s="27"/>
      <c r="Y23" s="27"/>
    </row>
    <row r="24" spans="1:27" s="17" customFormat="1">
      <c r="A24" s="17" t="s">
        <v>59</v>
      </c>
      <c r="B24" s="46">
        <v>345.9</v>
      </c>
      <c r="C24" s="46">
        <v>349.483</v>
      </c>
      <c r="D24" s="46">
        <v>308.7</v>
      </c>
      <c r="E24" s="46">
        <v>272.3</v>
      </c>
      <c r="F24" s="46">
        <v>224.5</v>
      </c>
      <c r="G24" s="46">
        <v>192.5</v>
      </c>
      <c r="H24" s="46">
        <v>190.518</v>
      </c>
      <c r="I24" s="46">
        <v>192.13</v>
      </c>
      <c r="J24" s="46">
        <v>189.12299999999999</v>
      </c>
      <c r="K24" s="46">
        <v>183.56399999999999</v>
      </c>
      <c r="L24" s="46">
        <v>177.935</v>
      </c>
      <c r="M24" s="46">
        <v>144.88200000000001</v>
      </c>
      <c r="N24" s="46">
        <v>136.61199999999999</v>
      </c>
      <c r="O24" s="27">
        <f>O27-O26-O25</f>
        <v>128.41900000000001</v>
      </c>
      <c r="P24" s="27">
        <f t="shared" ref="P24:V24" si="16">SUM(P22:S22)</f>
        <v>135.40599999999998</v>
      </c>
      <c r="Q24" s="27">
        <f t="shared" si="16"/>
        <v>125.49900000000001</v>
      </c>
      <c r="R24" s="27">
        <f t="shared" si="16"/>
        <v>111.35</v>
      </c>
      <c r="S24" s="27">
        <f t="shared" si="16"/>
        <v>109.797</v>
      </c>
      <c r="T24" s="27">
        <f t="shared" si="16"/>
        <v>108.682</v>
      </c>
      <c r="U24" s="27">
        <f t="shared" si="16"/>
        <v>104.303</v>
      </c>
      <c r="V24" s="27">
        <f t="shared" si="16"/>
        <v>100.19900000000001</v>
      </c>
      <c r="W24" s="27"/>
      <c r="X24" s="27"/>
      <c r="Y24" s="27"/>
    </row>
    <row r="25" spans="1:27" s="24" customFormat="1">
      <c r="A25" s="19" t="s">
        <v>60</v>
      </c>
      <c r="B25" s="28">
        <v>0</v>
      </c>
      <c r="C25" s="28">
        <v>0</v>
      </c>
      <c r="D25" s="28">
        <f>319.904-D24</f>
        <v>11.204000000000008</v>
      </c>
      <c r="E25" s="28">
        <f>277.109-E24</f>
        <v>4.8089999999999691</v>
      </c>
      <c r="F25" s="28">
        <f>231.545-F24</f>
        <v>7.0449999999999875</v>
      </c>
      <c r="G25" s="28">
        <f>205.006-G24</f>
        <v>12.506</v>
      </c>
      <c r="H25" s="28">
        <f>205.086-H24</f>
        <v>14.568000000000012</v>
      </c>
      <c r="I25" s="28">
        <f>7.508+3.554+8.629</f>
        <v>19.690999999999999</v>
      </c>
      <c r="J25" s="28">
        <f>11.505+7.107</f>
        <v>18.612000000000002</v>
      </c>
      <c r="K25" s="28">
        <f>199.652-K26-K24</f>
        <v>11.236999999999995</v>
      </c>
      <c r="L25" s="28">
        <v>14.127000000000001</v>
      </c>
      <c r="M25" s="28">
        <v>21.308</v>
      </c>
      <c r="N25" s="28">
        <v>25.498999999999999</v>
      </c>
      <c r="O25" s="28">
        <v>27.437999999999999</v>
      </c>
      <c r="P25" s="28">
        <v>27.995999999999999</v>
      </c>
      <c r="Q25" s="28">
        <v>29.056000000000001</v>
      </c>
      <c r="R25" s="28">
        <f>R27-R24</f>
        <v>29.349999999999994</v>
      </c>
      <c r="S25" s="28">
        <v>0</v>
      </c>
      <c r="T25" s="28">
        <v>0</v>
      </c>
      <c r="U25" s="28">
        <v>0</v>
      </c>
      <c r="V25" s="28">
        <v>0</v>
      </c>
      <c r="W25" s="28"/>
      <c r="X25" s="28"/>
      <c r="Y25" s="28"/>
    </row>
    <row r="26" spans="1:27" s="24" customFormat="1">
      <c r="A26" s="19" t="s">
        <v>61</v>
      </c>
      <c r="B26" s="29">
        <f>354.1-B25-B24</f>
        <v>8.2000000000000455</v>
      </c>
      <c r="C26" s="29">
        <v>0</v>
      </c>
      <c r="D26" s="29">
        <f>323.214-D24-D25</f>
        <v>3.3100000000000023</v>
      </c>
      <c r="E26" s="29">
        <v>0</v>
      </c>
      <c r="F26" s="29">
        <v>0</v>
      </c>
      <c r="G26" s="29">
        <v>0</v>
      </c>
      <c r="H26" s="29">
        <v>0</v>
      </c>
      <c r="I26" s="29">
        <v>0</v>
      </c>
      <c r="J26" s="29">
        <v>0</v>
      </c>
      <c r="K26" s="29">
        <v>4.851</v>
      </c>
      <c r="L26" s="29">
        <f>L27-L24-L25</f>
        <v>2.7159999999999886</v>
      </c>
      <c r="M26" s="29">
        <f>M27-M24-M25</f>
        <v>0.99999999999999289</v>
      </c>
      <c r="N26" s="29">
        <f>N27-N24-N25</f>
        <v>4.0930000000000142</v>
      </c>
      <c r="O26" s="29">
        <v>0.75800000000000001</v>
      </c>
      <c r="P26" s="29">
        <f>P27-P24-P25</f>
        <v>-4.6969999999999636</v>
      </c>
      <c r="Q26" s="29">
        <v>4.5380000000000003</v>
      </c>
      <c r="R26" s="29">
        <v>0</v>
      </c>
      <c r="S26" s="29">
        <v>0</v>
      </c>
      <c r="T26" s="29">
        <v>0</v>
      </c>
      <c r="U26" s="29">
        <v>0</v>
      </c>
      <c r="V26" s="29">
        <v>0</v>
      </c>
      <c r="W26" s="30"/>
      <c r="X26" s="30"/>
      <c r="Y26" s="30"/>
    </row>
    <row r="27" spans="1:27" s="32" customFormat="1">
      <c r="A27" s="17" t="s">
        <v>62</v>
      </c>
      <c r="B27" s="65">
        <f t="shared" ref="B27:C27" si="17">B24+B25+B26</f>
        <v>354.1</v>
      </c>
      <c r="C27" s="65">
        <f t="shared" si="17"/>
        <v>349.483</v>
      </c>
      <c r="D27" s="65">
        <f t="shared" ref="D27:E27" si="18">D24+D25+D26</f>
        <v>323.214</v>
      </c>
      <c r="E27" s="65">
        <f t="shared" si="18"/>
        <v>277.10899999999998</v>
      </c>
      <c r="F27" s="65">
        <f t="shared" ref="F27:K27" si="19">F24+F25+F26</f>
        <v>231.54499999999999</v>
      </c>
      <c r="G27" s="65">
        <f t="shared" si="19"/>
        <v>205.006</v>
      </c>
      <c r="H27" s="65">
        <f t="shared" si="19"/>
        <v>205.08600000000001</v>
      </c>
      <c r="I27" s="65">
        <f t="shared" si="19"/>
        <v>211.821</v>
      </c>
      <c r="J27" s="65">
        <f t="shared" si="19"/>
        <v>207.73499999999999</v>
      </c>
      <c r="K27" s="65">
        <f t="shared" si="19"/>
        <v>199.65199999999999</v>
      </c>
      <c r="L27" s="46">
        <v>194.77799999999999</v>
      </c>
      <c r="M27" s="46">
        <f>166.19+1</f>
        <v>167.19</v>
      </c>
      <c r="N27" s="46">
        <v>166.20400000000001</v>
      </c>
      <c r="O27" s="46">
        <v>156.61500000000001</v>
      </c>
      <c r="P27" s="46">
        <v>158.70500000000001</v>
      </c>
      <c r="Q27" s="27">
        <f t="shared" ref="Q27:V27" si="20">SUM(Q24:Q26)</f>
        <v>159.09300000000002</v>
      </c>
      <c r="R27" s="27">
        <v>140.69999999999999</v>
      </c>
      <c r="S27" s="27">
        <f t="shared" si="20"/>
        <v>109.797</v>
      </c>
      <c r="T27" s="27">
        <f t="shared" si="20"/>
        <v>108.682</v>
      </c>
      <c r="U27" s="27">
        <f t="shared" si="20"/>
        <v>104.303</v>
      </c>
      <c r="V27" s="27">
        <f t="shared" si="20"/>
        <v>100.19900000000001</v>
      </c>
      <c r="W27" s="31"/>
      <c r="X27" s="31"/>
      <c r="Y27" s="31"/>
    </row>
    <row r="28" spans="1:27" s="24" customFormat="1"/>
    <row r="29" spans="1:27" s="17" customFormat="1">
      <c r="A29" s="17" t="s">
        <v>58</v>
      </c>
      <c r="B29" s="27">
        <f t="shared" ref="B29" si="21">B22</f>
        <v>89.866</v>
      </c>
      <c r="C29" s="27">
        <f t="shared" ref="C29:D29" si="22">C22</f>
        <v>67.465999999999994</v>
      </c>
      <c r="D29" s="27">
        <f t="shared" si="22"/>
        <v>85.191000000000003</v>
      </c>
      <c r="E29" s="27">
        <f t="shared" ref="E29:H29" si="23">E22</f>
        <v>105.816</v>
      </c>
      <c r="F29" s="27">
        <f t="shared" si="23"/>
        <v>85.299000000000007</v>
      </c>
      <c r="G29" s="27">
        <f t="shared" si="23"/>
        <v>42.448</v>
      </c>
      <c r="H29" s="27">
        <f t="shared" si="23"/>
        <v>50.999000000000002</v>
      </c>
      <c r="I29" s="27">
        <f t="shared" ref="I29:Y29" si="24">I22</f>
        <v>62.7</v>
      </c>
      <c r="J29" s="27">
        <f t="shared" si="24"/>
        <v>58.164000000000001</v>
      </c>
      <c r="K29" s="27">
        <f t="shared" si="24"/>
        <v>38.070999999999998</v>
      </c>
      <c r="L29" s="27">
        <f t="shared" si="24"/>
        <v>66.388999999999996</v>
      </c>
      <c r="M29" s="27">
        <f t="shared" si="24"/>
        <v>52.064</v>
      </c>
      <c r="N29" s="27">
        <f t="shared" si="24"/>
        <v>46.137</v>
      </c>
      <c r="O29" s="27">
        <f t="shared" si="24"/>
        <v>24.908000000000001</v>
      </c>
      <c r="P29" s="27">
        <f t="shared" si="24"/>
        <v>38.805</v>
      </c>
      <c r="Q29" s="27">
        <f t="shared" si="24"/>
        <v>47.7</v>
      </c>
      <c r="R29" s="27">
        <f t="shared" si="24"/>
        <v>31.390999999999998</v>
      </c>
      <c r="S29" s="27">
        <f t="shared" si="24"/>
        <v>17.510000000000002</v>
      </c>
      <c r="T29" s="27">
        <f t="shared" si="24"/>
        <v>28.898</v>
      </c>
      <c r="U29" s="27">
        <f t="shared" si="24"/>
        <v>33.551000000000002</v>
      </c>
      <c r="V29" s="27">
        <f t="shared" si="24"/>
        <v>29.838000000000001</v>
      </c>
      <c r="W29" s="27">
        <f t="shared" si="24"/>
        <v>16.395</v>
      </c>
      <c r="X29" s="27">
        <f t="shared" si="24"/>
        <v>24.518999999999998</v>
      </c>
      <c r="Y29" s="27">
        <f t="shared" si="24"/>
        <v>29.446999999999999</v>
      </c>
    </row>
    <row r="30" spans="1:27" s="33" customFormat="1">
      <c r="A30" s="20" t="s">
        <v>63</v>
      </c>
      <c r="B30" s="20">
        <f>-37.949-C30</f>
        <v>-19.04</v>
      </c>
      <c r="C30" s="20">
        <v>-18.908999999999999</v>
      </c>
      <c r="D30" s="20">
        <f>-82.569-E30-F30-G30</f>
        <v>-19.282000000000014</v>
      </c>
      <c r="E30" s="20">
        <f>-63.287-F30-G30</f>
        <v>-19.191999999999997</v>
      </c>
      <c r="F30" s="20">
        <f>-44.095-G30</f>
        <v>-22.352999999999998</v>
      </c>
      <c r="G30" s="20">
        <v>-21.742000000000001</v>
      </c>
      <c r="H30" s="20">
        <f>-86.125-I30-J30-K30</f>
        <v>-23.385000000000002</v>
      </c>
      <c r="I30" s="20">
        <f>-62.74-J30-K30</f>
        <v>-21.876000000000001</v>
      </c>
      <c r="J30" s="20">
        <f>-40.864-K30</f>
        <v>-20.715999999999998</v>
      </c>
      <c r="K30" s="20">
        <f>-20.148</f>
        <v>-20.148</v>
      </c>
      <c r="L30" s="20">
        <f>-70.699-M30-N30-O30</f>
        <v>-20.314999999999998</v>
      </c>
      <c r="M30" s="20">
        <f>-50.384-N30-O30</f>
        <v>-18.600999999999999</v>
      </c>
      <c r="N30" s="20">
        <f>-31.783-O30</f>
        <v>-16.410000000000004</v>
      </c>
      <c r="O30" s="20">
        <v>-15.372999999999999</v>
      </c>
      <c r="P30" s="20">
        <v>-13.067</v>
      </c>
      <c r="Q30" s="20">
        <v>-9.1229999999999993</v>
      </c>
      <c r="R30" s="20">
        <v>-5.6929999999999996</v>
      </c>
      <c r="S30" s="20">
        <v>-5.4470000000000001</v>
      </c>
      <c r="T30" s="20">
        <v>-5.4139999999999997</v>
      </c>
      <c r="U30" s="20">
        <v>-5.37</v>
      </c>
      <c r="V30" s="20">
        <v>-8.4589999999999996</v>
      </c>
      <c r="W30" s="20">
        <v>-5.218</v>
      </c>
      <c r="X30" s="20"/>
      <c r="Y30" s="20"/>
    </row>
    <row r="31" spans="1:27" s="33" customFormat="1">
      <c r="A31" s="20" t="s">
        <v>64</v>
      </c>
      <c r="B31" s="20">
        <f>-2.592-C31</f>
        <v>-3.262</v>
      </c>
      <c r="C31" s="20">
        <v>0.67</v>
      </c>
      <c r="D31" s="20">
        <f>-1.289-E31-F31-G31</f>
        <v>0.42000000000000015</v>
      </c>
      <c r="E31" s="20">
        <f>-1.709-F31-G31</f>
        <v>-0.68900000000000006</v>
      </c>
      <c r="F31" s="20">
        <f>-1.02-G31</f>
        <v>-0.75800000000000001</v>
      </c>
      <c r="G31" s="20">
        <v>-0.26200000000000001</v>
      </c>
      <c r="H31" s="20">
        <f>-1.765-I31-J31-K31</f>
        <v>6.800000000000006E-2</v>
      </c>
      <c r="I31" s="20">
        <f>-1.833-J31-K31</f>
        <v>-0.56000000000000005</v>
      </c>
      <c r="J31" s="20">
        <f>-1.273-K31</f>
        <v>-0.92399999999999993</v>
      </c>
      <c r="K31" s="20">
        <v>-0.34899999999999998</v>
      </c>
      <c r="L31" s="20">
        <f>-1.574-M31-N31-O31</f>
        <v>-0.94300000000000006</v>
      </c>
      <c r="M31" s="20">
        <f>-0.631-N31-O31</f>
        <v>-0.11699999999999999</v>
      </c>
      <c r="N31" s="20">
        <f>-0.514-O31</f>
        <v>-0.51100000000000001</v>
      </c>
      <c r="O31" s="20">
        <v>-3.0000000000000001E-3</v>
      </c>
      <c r="P31" s="20">
        <v>-0.155</v>
      </c>
      <c r="Q31" s="20">
        <v>-0.154</v>
      </c>
      <c r="R31" s="20">
        <v>-3.548</v>
      </c>
      <c r="S31" s="20">
        <v>0.755</v>
      </c>
      <c r="T31" s="20">
        <v>-0.71899999999999997</v>
      </c>
      <c r="U31" s="20">
        <v>-0.20799999999999999</v>
      </c>
      <c r="V31" s="20">
        <v>-3.6999999999999998E-2</v>
      </c>
      <c r="W31" s="20">
        <v>-0.29199999999999998</v>
      </c>
      <c r="X31" s="20"/>
      <c r="Y31" s="20"/>
    </row>
    <row r="32" spans="1:27" s="33" customFormat="1">
      <c r="A32" s="20" t="s">
        <v>65</v>
      </c>
      <c r="B32" s="20">
        <f>-2.144+8.572-2.746+2.254-C32</f>
        <v>6.8890000000000002</v>
      </c>
      <c r="C32" s="20">
        <f>7.779-1.118-8.175+0.561</f>
        <v>-0.95300000000000107</v>
      </c>
      <c r="D32" s="20">
        <f>-35.953+0.377+12.462+5.471-E32-F32-G32</f>
        <v>5.9399999999999995</v>
      </c>
      <c r="E32" s="20">
        <f>-56.455+1.981+22.677+8.214-F32-G32</f>
        <v>-16.61</v>
      </c>
      <c r="F32" s="20">
        <f>-25.597+0.832+9.745+8.047-G32</f>
        <v>-10.422000000000001</v>
      </c>
      <c r="G32" s="20">
        <f>0.11-0.412-0.046+3.797</f>
        <v>3.4490000000000003</v>
      </c>
      <c r="H32" s="20">
        <f>5.05-10.618+4.185+2.135-I32-J32-K32</f>
        <v>6.6489999999999974</v>
      </c>
      <c r="I32" s="20">
        <f>13.717-10.549-11.713+2.648-J32-K32</f>
        <v>-27.890999999999998</v>
      </c>
      <c r="J32" s="20">
        <f>24.615-4.316+0.654+1.041-K32</f>
        <v>1.1029999999999944</v>
      </c>
      <c r="K32" s="20">
        <f>42.45-3.046-18.636+0.123</f>
        <v>20.891000000000005</v>
      </c>
      <c r="L32" s="20">
        <f>-41.722-6.422+24.924+1.847-M32-N32-O32</f>
        <v>-14.721999999999998</v>
      </c>
      <c r="M32" s="20">
        <f>-13.352-3.706+7.702+2.705-N32-O32</f>
        <v>-6.3649999999999993</v>
      </c>
      <c r="N32" s="20">
        <f>-4.566-2.505+3.967+2.818-O32</f>
        <v>-8.0670000000000002</v>
      </c>
      <c r="O32" s="20">
        <f>5.899-0.726+1.597+1.011</f>
        <v>7.7809999999999997</v>
      </c>
      <c r="P32" s="20">
        <f>5.117+0.816-0.059-1.211</f>
        <v>4.6629999999999994</v>
      </c>
      <c r="Q32" s="20">
        <f>-51.259-0.548+22.607-0.379</f>
        <v>-29.579000000000004</v>
      </c>
      <c r="R32" s="20">
        <f>-11.145+0.032+3.978+1.401+6.198</f>
        <v>0.46400000000000041</v>
      </c>
      <c r="S32" s="20">
        <f>3.044-1.756-4.736+1.422+7.946</f>
        <v>5.92</v>
      </c>
      <c r="T32" s="20">
        <f>-0.763-1.968+4.749-1.329+17.298</f>
        <v>17.986999999999998</v>
      </c>
      <c r="U32" s="20">
        <f>-5.718+0.01+6.152+0.174+11.456</f>
        <v>12.074</v>
      </c>
      <c r="V32" s="20">
        <f>-11.02+0.32+2.864+1.182+6.776</f>
        <v>0.12199999999999989</v>
      </c>
      <c r="W32" s="20">
        <f>-0.411-0.355-4.886+0.335+5.523</f>
        <v>0.20599999999999952</v>
      </c>
      <c r="X32" s="20"/>
      <c r="Y32" s="20"/>
    </row>
    <row r="33" spans="1:28"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c r="W33" s="20">
        <v>0</v>
      </c>
      <c r="X33" s="20"/>
      <c r="Y33" s="20"/>
    </row>
    <row r="34" spans="1:28"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c r="X34" s="29"/>
      <c r="Y34" s="29"/>
    </row>
    <row r="35" spans="1:28" s="27" customFormat="1">
      <c r="A35" s="27" t="s">
        <v>67</v>
      </c>
      <c r="B35" s="27">
        <f>109.252-C35</f>
        <v>69.397999999999996</v>
      </c>
      <c r="C35" s="27">
        <v>39.853999999999999</v>
      </c>
      <c r="D35" s="27">
        <f>187.172-E35-F35-G35</f>
        <v>62.650999999999989</v>
      </c>
      <c r="E35" s="27">
        <f>124.521-F35-G35</f>
        <v>62.614000000000011</v>
      </c>
      <c r="F35" s="27">
        <f>61.907-G35</f>
        <v>50.809999999999995</v>
      </c>
      <c r="G35" s="27">
        <v>11.097</v>
      </c>
      <c r="H35" s="27">
        <f>46.086-I35-J35-K35</f>
        <v>27.345999999999997</v>
      </c>
      <c r="I35" s="27">
        <f>18.74-J35-K35</f>
        <v>-13.916</v>
      </c>
      <c r="J35" s="27">
        <f>32.656-K35</f>
        <v>15.579999999999998</v>
      </c>
      <c r="K35" s="27">
        <v>17.076000000000001</v>
      </c>
      <c r="L35" s="27">
        <f>47.022-M35-N35-O35</f>
        <v>20.209000000000003</v>
      </c>
      <c r="M35" s="27">
        <f>26.813-N35-O35</f>
        <v>14.324999999999999</v>
      </c>
      <c r="N35" s="27">
        <f>12.488-O35</f>
        <v>5.27</v>
      </c>
      <c r="O35" s="27">
        <v>7.218</v>
      </c>
      <c r="P35" s="27">
        <v>11.037000000000001</v>
      </c>
      <c r="Q35" s="27">
        <v>-32.119999999999997</v>
      </c>
      <c r="R35" s="27">
        <v>18.123999999999999</v>
      </c>
      <c r="S35" s="27">
        <v>7.0140000000000002</v>
      </c>
      <c r="T35" s="27">
        <v>15.18</v>
      </c>
      <c r="U35" s="27">
        <v>22.311</v>
      </c>
      <c r="V35" s="27">
        <v>11.446999999999999</v>
      </c>
      <c r="W35" s="27">
        <v>-1.244</v>
      </c>
    </row>
    <row r="36" spans="1:28" s="33" customFormat="1">
      <c r="A36" s="20" t="s">
        <v>68</v>
      </c>
      <c r="B36" s="29">
        <f>-78.51-C36</f>
        <v>-46.726000000000006</v>
      </c>
      <c r="C36" s="29">
        <v>-31.783999999999999</v>
      </c>
      <c r="D36" s="29">
        <f>-86.274-E36-F36-G36</f>
        <v>-28.463000000000001</v>
      </c>
      <c r="E36" s="29">
        <f>-57.811-F36-G36</f>
        <v>-21.302999999999997</v>
      </c>
      <c r="F36" s="29">
        <f>-36.508-G36</f>
        <v>-22.256</v>
      </c>
      <c r="G36" s="29">
        <v>-14.252000000000001</v>
      </c>
      <c r="H36" s="29">
        <f>-86.324-I36-J36-K36</f>
        <v>-41.997000000000007</v>
      </c>
      <c r="I36" s="29">
        <f>-44.327-J36-K36</f>
        <v>-5.5549999999999997</v>
      </c>
      <c r="J36" s="29">
        <f>-38.772-K36</f>
        <v>-22.228999999999999</v>
      </c>
      <c r="K36" s="29">
        <v>-16.542999999999999</v>
      </c>
      <c r="L36" s="29">
        <f>-112.633-M36-N36-O36</f>
        <v>-25.942999999999991</v>
      </c>
      <c r="M36" s="29">
        <f>-86.69-N36-O36</f>
        <v>-17.731999999999999</v>
      </c>
      <c r="N36" s="29">
        <f>-68.958-O36</f>
        <v>-26.455999999999996</v>
      </c>
      <c r="O36" s="29">
        <v>-42.502000000000002</v>
      </c>
      <c r="P36" s="29">
        <v>-4.0830000000000002</v>
      </c>
      <c r="Q36" s="29">
        <v>-7.5309999999999997</v>
      </c>
      <c r="R36" s="29">
        <v>-12.754</v>
      </c>
      <c r="S36" s="29">
        <v>-5.1280000000000001</v>
      </c>
      <c r="T36" s="29">
        <v>-4.92</v>
      </c>
      <c r="U36" s="29">
        <v>-6.5970000000000004</v>
      </c>
      <c r="V36" s="29">
        <v>-7.0229999999999997</v>
      </c>
      <c r="W36" s="29">
        <v>-5.5140000000000002</v>
      </c>
      <c r="X36" s="29"/>
      <c r="Y36" s="29"/>
    </row>
    <row r="37" spans="1:28" s="27" customFormat="1">
      <c r="A37" s="27" t="s">
        <v>69</v>
      </c>
      <c r="B37" s="27">
        <f t="shared" ref="B37:W37" si="25">+B35+B36</f>
        <v>22.67199999999999</v>
      </c>
      <c r="C37" s="27">
        <f t="shared" si="25"/>
        <v>8.07</v>
      </c>
      <c r="D37" s="27">
        <f t="shared" si="25"/>
        <v>34.187999999999988</v>
      </c>
      <c r="E37" s="27">
        <f t="shared" si="25"/>
        <v>41.311000000000014</v>
      </c>
      <c r="F37" s="27">
        <f t="shared" si="25"/>
        <v>28.553999999999995</v>
      </c>
      <c r="G37" s="27">
        <f t="shared" si="25"/>
        <v>-3.1550000000000011</v>
      </c>
      <c r="H37" s="27">
        <f t="shared" si="25"/>
        <v>-14.65100000000001</v>
      </c>
      <c r="I37" s="27">
        <f t="shared" si="25"/>
        <v>-19.471</v>
      </c>
      <c r="J37" s="27">
        <f t="shared" si="25"/>
        <v>-6.6490000000000009</v>
      </c>
      <c r="K37" s="27">
        <f t="shared" si="25"/>
        <v>0.53300000000000125</v>
      </c>
      <c r="L37" s="27">
        <f t="shared" si="25"/>
        <v>-5.7339999999999876</v>
      </c>
      <c r="M37" s="27">
        <f t="shared" si="25"/>
        <v>-3.407</v>
      </c>
      <c r="N37" s="27">
        <f t="shared" si="25"/>
        <v>-21.185999999999996</v>
      </c>
      <c r="O37" s="27">
        <f t="shared" si="25"/>
        <v>-35.284000000000006</v>
      </c>
      <c r="P37" s="27">
        <f t="shared" si="25"/>
        <v>6.9540000000000006</v>
      </c>
      <c r="Q37" s="27">
        <f t="shared" si="25"/>
        <v>-39.650999999999996</v>
      </c>
      <c r="R37" s="27">
        <f t="shared" si="25"/>
        <v>5.3699999999999992</v>
      </c>
      <c r="S37" s="27">
        <f t="shared" si="25"/>
        <v>1.8860000000000001</v>
      </c>
      <c r="T37" s="27">
        <f t="shared" si="25"/>
        <v>10.26</v>
      </c>
      <c r="U37" s="27">
        <f t="shared" si="25"/>
        <v>15.713999999999999</v>
      </c>
      <c r="V37" s="27">
        <f t="shared" si="25"/>
        <v>4.4239999999999995</v>
      </c>
      <c r="W37" s="27">
        <f t="shared" si="25"/>
        <v>-6.758</v>
      </c>
    </row>
    <row r="38" spans="1:28">
      <c r="B38" s="33"/>
      <c r="C38" s="33"/>
      <c r="D38" s="33"/>
      <c r="E38" s="33"/>
      <c r="F38" s="33"/>
      <c r="J38" s="33"/>
      <c r="N38" s="48"/>
    </row>
    <row r="39" spans="1:28" s="35" customFormat="1">
      <c r="A39" s="34" t="s">
        <v>70</v>
      </c>
      <c r="B39" s="20">
        <v>0</v>
      </c>
      <c r="C39" s="20">
        <f>+D39</f>
        <v>0</v>
      </c>
      <c r="D39" s="20">
        <v>0</v>
      </c>
      <c r="E39" s="20">
        <v>0</v>
      </c>
      <c r="F39" s="20">
        <v>0</v>
      </c>
      <c r="G39" s="20">
        <v>40</v>
      </c>
      <c r="H39" s="20">
        <f>I39</f>
        <v>0</v>
      </c>
      <c r="I39" s="20">
        <f>J39</f>
        <v>0</v>
      </c>
      <c r="J39" s="20">
        <f>K39</f>
        <v>0</v>
      </c>
      <c r="K39" s="20">
        <f>L39</f>
        <v>0</v>
      </c>
      <c r="L39" s="20">
        <f>M39</f>
        <v>0</v>
      </c>
      <c r="M39" s="20">
        <v>0</v>
      </c>
      <c r="N39" s="20">
        <v>0</v>
      </c>
      <c r="O39" s="20">
        <v>0</v>
      </c>
      <c r="P39" s="20">
        <v>0</v>
      </c>
      <c r="Q39" s="20">
        <v>0</v>
      </c>
      <c r="R39" s="20">
        <v>0</v>
      </c>
      <c r="S39" s="20"/>
      <c r="T39" s="20"/>
      <c r="U39" s="20"/>
      <c r="V39" s="20"/>
      <c r="W39" s="20"/>
      <c r="X39" s="20"/>
      <c r="Y39" s="20"/>
      <c r="AA39" s="33"/>
    </row>
    <row r="40" spans="1:28" s="35" customFormat="1">
      <c r="A40" s="34" t="s">
        <v>71</v>
      </c>
      <c r="B40" s="20">
        <v>871.7</v>
      </c>
      <c r="C40" s="20">
        <f>+D40-3.102-2.042</f>
        <v>871.05600000000004</v>
      </c>
      <c r="D40" s="20">
        <v>876.2</v>
      </c>
      <c r="E40" s="20">
        <f>878.5</f>
        <v>878.5</v>
      </c>
      <c r="F40" s="20">
        <v>880.7</v>
      </c>
      <c r="G40" s="20">
        <v>883</v>
      </c>
      <c r="H40" s="20">
        <v>885.2</v>
      </c>
      <c r="I40" s="20">
        <v>887.5</v>
      </c>
      <c r="J40" s="20">
        <f>K40-3.765</f>
        <v>737.87100000000009</v>
      </c>
      <c r="K40" s="20">
        <f>L40-1.882</f>
        <v>741.63600000000008</v>
      </c>
      <c r="L40" s="20">
        <f>M40-1.882</f>
        <v>743.51800000000003</v>
      </c>
      <c r="M40" s="20">
        <v>745.4</v>
      </c>
      <c r="N40" s="20">
        <v>747.3</v>
      </c>
      <c r="O40" s="20">
        <v>623.9</v>
      </c>
      <c r="P40" s="20">
        <v>625.4</v>
      </c>
      <c r="Q40" s="20">
        <f>R40</f>
        <v>487</v>
      </c>
      <c r="R40" s="20">
        <v>487</v>
      </c>
      <c r="S40" s="20"/>
      <c r="T40" s="20"/>
      <c r="U40" s="20"/>
      <c r="V40" s="20"/>
      <c r="W40" s="20"/>
      <c r="X40" s="20"/>
      <c r="Y40" s="20"/>
      <c r="AA40" s="33"/>
    </row>
    <row r="41" spans="1:28" s="35" customFormat="1">
      <c r="A41" s="34" t="s">
        <v>72</v>
      </c>
      <c r="B41" s="20">
        <f>+B39+B40+343+15.3</f>
        <v>1230</v>
      </c>
      <c r="C41" s="20">
        <f>C39+C40+343+17</f>
        <v>1231.056</v>
      </c>
      <c r="D41" s="20">
        <f>D39+D40+343+17</f>
        <v>1236.2</v>
      </c>
      <c r="E41" s="20">
        <f>E39+E40+343+10.9</f>
        <v>1232.4000000000001</v>
      </c>
      <c r="F41" s="20">
        <f>F39+F40+343+2.5</f>
        <v>1226.2</v>
      </c>
      <c r="G41" s="20">
        <f>G39+G40+343</f>
        <v>1266</v>
      </c>
      <c r="H41" s="20">
        <f t="shared" ref="H41:N41" si="26">H39+H40+343</f>
        <v>1228.2</v>
      </c>
      <c r="I41" s="20">
        <f t="shared" si="26"/>
        <v>1230.5</v>
      </c>
      <c r="J41" s="20">
        <f t="shared" si="26"/>
        <v>1080.8710000000001</v>
      </c>
      <c r="K41" s="20">
        <f t="shared" si="26"/>
        <v>1084.636</v>
      </c>
      <c r="L41" s="20">
        <f t="shared" si="26"/>
        <v>1086.518</v>
      </c>
      <c r="M41" s="20">
        <f t="shared" si="26"/>
        <v>1088.4000000000001</v>
      </c>
      <c r="N41" s="20">
        <f t="shared" si="26"/>
        <v>1090.3</v>
      </c>
      <c r="O41" s="20">
        <f>O39+O40+293</f>
        <v>916.9</v>
      </c>
      <c r="P41" s="20">
        <f>P39+P40+293</f>
        <v>918.4</v>
      </c>
      <c r="Q41" s="20">
        <f>781.075+0.147</f>
        <v>781.22200000000009</v>
      </c>
      <c r="R41" s="20">
        <f>R39+R40+293</f>
        <v>780</v>
      </c>
      <c r="S41" s="20"/>
      <c r="T41" s="20"/>
      <c r="U41" s="20"/>
      <c r="V41" s="20"/>
      <c r="W41" s="20"/>
      <c r="X41" s="20"/>
      <c r="Y41" s="20"/>
      <c r="AA41" s="33"/>
    </row>
    <row r="42" spans="1:28" s="35" customFormat="1">
      <c r="A42" s="34" t="s">
        <v>73</v>
      </c>
      <c r="B42" s="36">
        <f t="shared" ref="B42:M42" si="27">C42</f>
        <v>469</v>
      </c>
      <c r="C42" s="36">
        <f t="shared" si="27"/>
        <v>469</v>
      </c>
      <c r="D42" s="36">
        <f t="shared" si="27"/>
        <v>469</v>
      </c>
      <c r="E42" s="36">
        <f t="shared" si="27"/>
        <v>469</v>
      </c>
      <c r="F42" s="36">
        <f t="shared" si="27"/>
        <v>469</v>
      </c>
      <c r="G42" s="36">
        <f t="shared" si="27"/>
        <v>469</v>
      </c>
      <c r="H42" s="36">
        <f t="shared" si="27"/>
        <v>469</v>
      </c>
      <c r="I42" s="36">
        <f t="shared" si="27"/>
        <v>469</v>
      </c>
      <c r="J42" s="36">
        <f t="shared" si="27"/>
        <v>469</v>
      </c>
      <c r="K42" s="36">
        <f t="shared" si="27"/>
        <v>469</v>
      </c>
      <c r="L42" s="36">
        <f t="shared" si="27"/>
        <v>469</v>
      </c>
      <c r="M42" s="36">
        <f t="shared" si="27"/>
        <v>469</v>
      </c>
      <c r="N42" s="36">
        <f>451+18</f>
        <v>469</v>
      </c>
      <c r="O42" s="36">
        <f>451+18</f>
        <v>469</v>
      </c>
      <c r="P42" s="36">
        <f>451+18</f>
        <v>469</v>
      </c>
      <c r="Q42" s="36">
        <f>451+18</f>
        <v>469</v>
      </c>
      <c r="R42" s="36">
        <f>451+18</f>
        <v>469</v>
      </c>
      <c r="S42" s="36"/>
      <c r="T42" s="36"/>
      <c r="U42" s="36"/>
      <c r="V42" s="36"/>
      <c r="W42" s="36"/>
      <c r="X42" s="36"/>
      <c r="Y42" s="36"/>
      <c r="AA42" s="33"/>
      <c r="AB42" s="33"/>
    </row>
    <row r="43" spans="1:28">
      <c r="B43" s="35"/>
      <c r="C43" s="35"/>
      <c r="D43" s="35"/>
      <c r="E43" s="35"/>
      <c r="F43" s="35"/>
      <c r="G43" s="35"/>
      <c r="H43" s="35"/>
      <c r="I43" s="35"/>
      <c r="J43" s="35"/>
      <c r="K43" s="35"/>
      <c r="L43" s="35"/>
      <c r="M43" s="35"/>
      <c r="N43" s="35"/>
      <c r="O43" s="35"/>
      <c r="P43" s="35"/>
      <c r="Q43" s="35"/>
      <c r="R43" s="35"/>
      <c r="S43" s="35"/>
      <c r="T43" s="35"/>
      <c r="AA43" s="33"/>
      <c r="AB43" s="33"/>
    </row>
    <row r="44" spans="1:28">
      <c r="A44" s="19" t="s">
        <v>74</v>
      </c>
      <c r="B44" s="28">
        <v>71.968000000000004</v>
      </c>
      <c r="C44" s="28">
        <v>56.759</v>
      </c>
      <c r="D44" s="28">
        <v>69.793999999999997</v>
      </c>
      <c r="E44" s="28">
        <v>68.853999999999999</v>
      </c>
      <c r="F44" s="28">
        <v>30.204000000000001</v>
      </c>
      <c r="G44" s="28">
        <v>41.534999999999997</v>
      </c>
      <c r="H44" s="28">
        <v>5.48</v>
      </c>
      <c r="I44" s="28">
        <v>122.452</v>
      </c>
      <c r="J44" s="28">
        <v>5.9009999999999998</v>
      </c>
      <c r="K44" s="28">
        <v>34.134</v>
      </c>
      <c r="L44" s="28">
        <v>49.817</v>
      </c>
      <c r="M44" s="28">
        <v>139.19999999999999</v>
      </c>
      <c r="N44" s="28">
        <v>186.6</v>
      </c>
      <c r="O44" s="28">
        <v>63.1</v>
      </c>
      <c r="P44" s="28">
        <v>133.08500000000001</v>
      </c>
      <c r="Q44" s="28">
        <v>42.28</v>
      </c>
      <c r="R44" s="28">
        <v>50</v>
      </c>
      <c r="S44" s="28">
        <v>8.9710000000000001</v>
      </c>
      <c r="T44" s="28">
        <v>12.772</v>
      </c>
      <c r="U44" s="28">
        <v>9.8030000000000008</v>
      </c>
      <c r="V44" s="28">
        <v>10.634</v>
      </c>
      <c r="W44" s="28"/>
      <c r="X44" s="28"/>
      <c r="Y44" s="28"/>
      <c r="AA44" s="33"/>
      <c r="AB44" s="33"/>
    </row>
    <row r="46" spans="1:28">
      <c r="A46" s="14" t="s">
        <v>75</v>
      </c>
      <c r="B46" s="51">
        <v>1013.8049999999999</v>
      </c>
      <c r="C46" s="51">
        <v>1009.659</v>
      </c>
      <c r="D46" s="51">
        <v>969.64499999999998</v>
      </c>
      <c r="E46" s="51">
        <v>901.82600000000002</v>
      </c>
      <c r="F46" s="51">
        <v>849.11400000000003</v>
      </c>
      <c r="G46" s="51">
        <v>811.13800000000003</v>
      </c>
      <c r="H46" s="51">
        <v>791.10400000000004</v>
      </c>
      <c r="I46" s="51">
        <v>780.072</v>
      </c>
      <c r="J46" s="51">
        <v>766.64200000000005</v>
      </c>
      <c r="K46" s="51">
        <v>740.02</v>
      </c>
      <c r="L46" s="51">
        <v>722.82600000000002</v>
      </c>
      <c r="M46" s="51">
        <v>609.61400000000003</v>
      </c>
      <c r="N46" s="33">
        <v>575.00699999999995</v>
      </c>
      <c r="O46" s="33">
        <v>541.70799999999997</v>
      </c>
      <c r="P46" s="33">
        <f t="shared" ref="P46:V46" si="28">SUM(P12:S12)</f>
        <v>555.30899999999997</v>
      </c>
      <c r="Q46" s="33">
        <f t="shared" si="28"/>
        <v>508.35600000000005</v>
      </c>
      <c r="R46" s="33">
        <f t="shared" si="28"/>
        <v>463.94599999999997</v>
      </c>
      <c r="S46" s="33">
        <f t="shared" si="28"/>
        <v>454.93599999999998</v>
      </c>
      <c r="T46" s="33">
        <f t="shared" si="28"/>
        <v>446.61900000000003</v>
      </c>
      <c r="U46" s="33">
        <f t="shared" si="28"/>
        <v>439.01799999999997</v>
      </c>
      <c r="V46" s="33">
        <f t="shared" si="28"/>
        <v>429.476</v>
      </c>
    </row>
    <row r="47" spans="1:28">
      <c r="A47" s="14" t="s">
        <v>76</v>
      </c>
      <c r="B47" s="33">
        <f t="shared" ref="B47" si="29">B27</f>
        <v>354.1</v>
      </c>
      <c r="C47" s="33">
        <f t="shared" ref="C47:D47" si="30">C27</f>
        <v>349.483</v>
      </c>
      <c r="D47" s="33">
        <f t="shared" si="30"/>
        <v>323.214</v>
      </c>
      <c r="E47" s="33">
        <f t="shared" ref="E47:F47" si="31">E27</f>
        <v>277.10899999999998</v>
      </c>
      <c r="F47" s="33">
        <f t="shared" si="31"/>
        <v>231.54499999999999</v>
      </c>
      <c r="G47" s="33">
        <f t="shared" ref="G47:L47" si="32">G27</f>
        <v>205.006</v>
      </c>
      <c r="H47" s="33">
        <f t="shared" si="32"/>
        <v>205.08600000000001</v>
      </c>
      <c r="I47" s="33">
        <f t="shared" si="32"/>
        <v>211.821</v>
      </c>
      <c r="J47" s="33">
        <f t="shared" si="32"/>
        <v>207.73499999999999</v>
      </c>
      <c r="K47" s="33">
        <f t="shared" si="32"/>
        <v>199.65199999999999</v>
      </c>
      <c r="L47" s="33">
        <f t="shared" si="32"/>
        <v>194.77799999999999</v>
      </c>
      <c r="M47" s="33">
        <f t="shared" ref="M47:V47" si="33">+M27</f>
        <v>167.19</v>
      </c>
      <c r="N47" s="33">
        <f t="shared" si="33"/>
        <v>166.20400000000001</v>
      </c>
      <c r="O47" s="33">
        <f t="shared" si="33"/>
        <v>156.61500000000001</v>
      </c>
      <c r="P47" s="33">
        <f t="shared" si="33"/>
        <v>158.70500000000001</v>
      </c>
      <c r="Q47" s="33">
        <f t="shared" si="33"/>
        <v>159.09300000000002</v>
      </c>
      <c r="R47" s="33">
        <f t="shared" si="33"/>
        <v>140.69999999999999</v>
      </c>
      <c r="S47" s="33">
        <f t="shared" si="33"/>
        <v>109.797</v>
      </c>
      <c r="T47" s="33">
        <f t="shared" si="33"/>
        <v>108.682</v>
      </c>
      <c r="U47" s="33">
        <f t="shared" si="33"/>
        <v>104.303</v>
      </c>
      <c r="V47" s="33">
        <f t="shared" si="33"/>
        <v>100.19900000000001</v>
      </c>
      <c r="AA47" s="17"/>
    </row>
    <row r="48" spans="1:28">
      <c r="A48" s="14" t="s">
        <v>77</v>
      </c>
      <c r="B48" s="33">
        <f t="shared" ref="B48:N48" si="34">+SUM(B37:E37)</f>
        <v>106.24099999999999</v>
      </c>
      <c r="C48" s="33">
        <f t="shared" si="34"/>
        <v>112.12299999999999</v>
      </c>
      <c r="D48" s="33">
        <f t="shared" si="34"/>
        <v>100.898</v>
      </c>
      <c r="E48" s="33">
        <f t="shared" si="34"/>
        <v>52.058999999999997</v>
      </c>
      <c r="F48" s="33">
        <f t="shared" si="34"/>
        <v>-8.7230000000000167</v>
      </c>
      <c r="G48" s="33">
        <f t="shared" si="34"/>
        <v>-43.926000000000016</v>
      </c>
      <c r="H48" s="33">
        <f t="shared" si="34"/>
        <v>-40.238000000000014</v>
      </c>
      <c r="I48" s="33">
        <f t="shared" si="34"/>
        <v>-31.320999999999987</v>
      </c>
      <c r="J48" s="33">
        <f t="shared" si="34"/>
        <v>-15.256999999999987</v>
      </c>
      <c r="K48" s="33">
        <f t="shared" si="34"/>
        <v>-29.793999999999983</v>
      </c>
      <c r="L48" s="33">
        <f t="shared" si="34"/>
        <v>-65.61099999999999</v>
      </c>
      <c r="M48" s="33">
        <f t="shared" si="34"/>
        <v>-52.923000000000002</v>
      </c>
      <c r="N48" s="33">
        <f t="shared" si="34"/>
        <v>-89.167000000000002</v>
      </c>
      <c r="O48" s="33">
        <f t="shared" ref="O48" si="35">+SUM(O37:R37)</f>
        <v>-62.610999999999997</v>
      </c>
      <c r="P48" s="33">
        <f t="shared" ref="P48:V48" si="36">+SUM(P37:S37)</f>
        <v>-25.440999999999999</v>
      </c>
      <c r="Q48" s="33">
        <f t="shared" si="36"/>
        <v>-22.134999999999998</v>
      </c>
      <c r="R48" s="33">
        <f t="shared" si="36"/>
        <v>33.229999999999997</v>
      </c>
      <c r="S48" s="33">
        <f t="shared" si="36"/>
        <v>32.283999999999999</v>
      </c>
      <c r="T48" s="33">
        <f t="shared" si="36"/>
        <v>23.639999999999997</v>
      </c>
      <c r="U48" s="33">
        <f t="shared" si="36"/>
        <v>13.379999999999999</v>
      </c>
      <c r="V48" s="33">
        <f t="shared" si="36"/>
        <v>-2.3340000000000005</v>
      </c>
    </row>
    <row r="50" spans="1:25" s="37" customFormat="1">
      <c r="A50" s="37" t="s">
        <v>78</v>
      </c>
      <c r="B50" s="37">
        <f t="shared" ref="B50" si="37">+SUM(B39:B40)/B47</f>
        <v>2.4617339734538266</v>
      </c>
      <c r="C50" s="37">
        <f t="shared" ref="C50:D50" si="38">+SUM(C39:C40)/C47</f>
        <v>2.4924130787477505</v>
      </c>
      <c r="D50" s="37">
        <f t="shared" si="38"/>
        <v>2.7108974239977228</v>
      </c>
      <c r="E50" s="37">
        <f t="shared" ref="E50:F50" si="39">+SUM(E39:E40)/E47</f>
        <v>3.1702326521332762</v>
      </c>
      <c r="F50" s="37">
        <f t="shared" si="39"/>
        <v>3.8035802975663482</v>
      </c>
      <c r="G50" s="37">
        <f t="shared" ref="G50:H50" si="40">+SUM(G39:G40)/G47</f>
        <v>4.5023072495439154</v>
      </c>
      <c r="H50" s="37">
        <f t="shared" si="40"/>
        <v>4.316238065982076</v>
      </c>
      <c r="I50" s="37">
        <f t="shared" ref="I50:J50" si="41">+SUM(I39:I40)/I47</f>
        <v>4.1898584181927196</v>
      </c>
      <c r="J50" s="37">
        <f t="shared" si="41"/>
        <v>3.5519820925698613</v>
      </c>
      <c r="K50" s="37">
        <f t="shared" ref="K50:L50" si="42">+SUM(K39:K40)/K47</f>
        <v>3.7146434796545997</v>
      </c>
      <c r="L50" s="37">
        <f t="shared" si="42"/>
        <v>3.8172586226370537</v>
      </c>
      <c r="M50" s="37">
        <f t="shared" ref="M50:R50" si="43">+SUM(M39:M40)/M47</f>
        <v>4.4584006220467733</v>
      </c>
      <c r="N50" s="37">
        <f t="shared" si="43"/>
        <v>4.4962816779379553</v>
      </c>
      <c r="O50" s="37">
        <f t="shared" si="43"/>
        <v>3.9836541838265807</v>
      </c>
      <c r="P50" s="37">
        <f t="shared" si="43"/>
        <v>3.9406445921678581</v>
      </c>
      <c r="Q50" s="37">
        <f t="shared" si="43"/>
        <v>3.06110262550835</v>
      </c>
      <c r="R50" s="37">
        <f t="shared" si="43"/>
        <v>3.4612651030561481</v>
      </c>
    </row>
    <row r="51" spans="1:25" s="37" customFormat="1">
      <c r="A51" s="37" t="s">
        <v>79</v>
      </c>
      <c r="B51" s="37">
        <f t="shared" ref="B51" si="44">+B41/B47</f>
        <v>3.4735950296526403</v>
      </c>
      <c r="C51" s="37">
        <f t="shared" ref="C51:D51" si="45">+C41/C47</f>
        <v>3.5225061018704773</v>
      </c>
      <c r="D51" s="37">
        <f t="shared" si="45"/>
        <v>3.824710563280056</v>
      </c>
      <c r="E51" s="37">
        <f t="shared" ref="E51:F51" si="46">+E41/E47</f>
        <v>4.4473474336813315</v>
      </c>
      <c r="F51" s="37">
        <f t="shared" si="46"/>
        <v>5.2957308514543611</v>
      </c>
      <c r="G51" s="37">
        <f t="shared" ref="G51:H51" si="47">+G41/G47</f>
        <v>6.1754290118338</v>
      </c>
      <c r="H51" s="37">
        <f t="shared" si="47"/>
        <v>5.9887071765015651</v>
      </c>
      <c r="I51" s="37">
        <f t="shared" ref="I51:J51" si="48">+I41/I47</f>
        <v>5.8091501786886095</v>
      </c>
      <c r="J51" s="37">
        <f t="shared" si="48"/>
        <v>5.2031241726237765</v>
      </c>
      <c r="K51" s="37">
        <f t="shared" ref="K51:L51" si="49">+K41/K47</f>
        <v>5.4326327810390085</v>
      </c>
      <c r="L51" s="37">
        <f t="shared" si="49"/>
        <v>5.5782377886619638</v>
      </c>
      <c r="M51" s="37">
        <f t="shared" ref="M51:R51" si="50">+M41/M47</f>
        <v>6.5099587295890906</v>
      </c>
      <c r="N51" s="37">
        <f t="shared" si="50"/>
        <v>6.5600105893961631</v>
      </c>
      <c r="O51" s="37">
        <f t="shared" si="50"/>
        <v>5.854483925549915</v>
      </c>
      <c r="P51" s="37">
        <f t="shared" si="50"/>
        <v>5.7868372136983703</v>
      </c>
      <c r="Q51" s="37">
        <f t="shared" si="50"/>
        <v>4.910473748059311</v>
      </c>
      <c r="R51" s="37">
        <f t="shared" si="50"/>
        <v>5.5437100213219619</v>
      </c>
    </row>
    <row r="52" spans="1:25" s="37" customFormat="1">
      <c r="A52" s="37" t="s">
        <v>80</v>
      </c>
      <c r="B52" s="37">
        <f t="shared" ref="B52" si="51">+(B41-B44)/B47</f>
        <v>3.2703530076249643</v>
      </c>
      <c r="C52" s="37">
        <f t="shared" ref="C52:D52" si="52">+(C41-C44)/C47</f>
        <v>3.3600976299276359</v>
      </c>
      <c r="D52" s="37">
        <f t="shared" si="52"/>
        <v>3.6087731348270804</v>
      </c>
      <c r="E52" s="37">
        <f t="shared" ref="E52:F52" si="53">+(E41-E44)/E47</f>
        <v>4.1988748109949521</v>
      </c>
      <c r="F52" s="37">
        <f t="shared" si="53"/>
        <v>5.1652853656956541</v>
      </c>
      <c r="G52" s="37">
        <f t="shared" ref="G52:H52" si="54">+(G41-G44)/G47</f>
        <v>5.9728251856043233</v>
      </c>
      <c r="H52" s="37">
        <f t="shared" si="54"/>
        <v>5.9619866787591542</v>
      </c>
      <c r="I52" s="37">
        <f t="shared" ref="I52:J52" si="55">+(I41-I44)/I47</f>
        <v>5.2310582992243448</v>
      </c>
      <c r="J52" s="37">
        <f t="shared" si="55"/>
        <v>5.17471778949142</v>
      </c>
      <c r="K52" s="37">
        <f t="shared" ref="K52:L52" si="56">+(K41-K44)/K47</f>
        <v>5.2616652976178555</v>
      </c>
      <c r="L52" s="37">
        <f t="shared" si="56"/>
        <v>5.3224748174845216</v>
      </c>
      <c r="M52" s="37">
        <f t="shared" ref="M52:R52" si="57">+(M41-M44)/M47</f>
        <v>5.6773730486273104</v>
      </c>
      <c r="N52" s="37">
        <f t="shared" si="57"/>
        <v>5.4372939279439718</v>
      </c>
      <c r="O52" s="37">
        <f t="shared" si="57"/>
        <v>5.4515850972129103</v>
      </c>
      <c r="P52" s="37">
        <f t="shared" si="57"/>
        <v>4.9482688006048949</v>
      </c>
      <c r="Q52" s="37">
        <f t="shared" si="57"/>
        <v>4.6447172408591202</v>
      </c>
      <c r="R52" s="37">
        <f t="shared" si="57"/>
        <v>5.1883439943141436</v>
      </c>
    </row>
    <row r="53" spans="1:25" s="38" customFormat="1">
      <c r="A53" s="38" t="s">
        <v>81</v>
      </c>
      <c r="B53" s="38">
        <f t="shared" ref="B53" si="58">+B48/B41</f>
        <v>8.6374796747967469E-2</v>
      </c>
      <c r="C53" s="38">
        <f t="shared" ref="C53:D53" si="59">+C48/C41</f>
        <v>9.1078716159134918E-2</v>
      </c>
      <c r="D53" s="38">
        <f t="shared" si="59"/>
        <v>8.161947904869761E-2</v>
      </c>
      <c r="E53" s="38">
        <f t="shared" ref="E53:F53" si="60">+E48/E41</f>
        <v>4.2241966893865626E-2</v>
      </c>
      <c r="F53" s="38">
        <f t="shared" si="60"/>
        <v>-7.1138476594356679E-3</v>
      </c>
      <c r="G53" s="38">
        <f t="shared" ref="G53:H53" si="61">+G48/G41</f>
        <v>-3.4696682464454988E-2</v>
      </c>
      <c r="H53" s="38">
        <f t="shared" si="61"/>
        <v>-3.2761765184823329E-2</v>
      </c>
      <c r="I53" s="38">
        <f t="shared" ref="I53:J53" si="62">+I48/I41</f>
        <v>-2.545388053636732E-2</v>
      </c>
      <c r="J53" s="38">
        <f t="shared" si="62"/>
        <v>-1.4115467988316817E-2</v>
      </c>
      <c r="K53" s="38">
        <f t="shared" ref="K53:L53" si="63">+K48/K41</f>
        <v>-2.7469123281912075E-2</v>
      </c>
      <c r="L53" s="38">
        <f t="shared" si="63"/>
        <v>-6.0386482322428152E-2</v>
      </c>
      <c r="M53" s="38">
        <f t="shared" ref="M53:R53" si="64">+M48/M41</f>
        <v>-4.8624586549062841E-2</v>
      </c>
      <c r="N53" s="38">
        <f t="shared" si="64"/>
        <v>-8.1782078327065952E-2</v>
      </c>
      <c r="O53" s="38">
        <f t="shared" si="64"/>
        <v>-6.8285527320318465E-2</v>
      </c>
      <c r="P53" s="38">
        <f t="shared" si="64"/>
        <v>-2.7701437282229964E-2</v>
      </c>
      <c r="Q53" s="38">
        <f t="shared" si="64"/>
        <v>-2.833381548394694E-2</v>
      </c>
      <c r="R53" s="38">
        <f t="shared" si="64"/>
        <v>4.2602564102564099E-2</v>
      </c>
    </row>
    <row r="54" spans="1:25" s="38" customFormat="1">
      <c r="A54" s="39" t="s">
        <v>82</v>
      </c>
      <c r="B54" s="40"/>
      <c r="C54" s="40"/>
      <c r="D54" s="40"/>
      <c r="E54" s="40"/>
      <c r="F54" s="40"/>
      <c r="G54" s="40"/>
      <c r="H54" s="40"/>
      <c r="I54" s="40"/>
      <c r="J54" s="40"/>
      <c r="K54" s="40"/>
      <c r="L54" s="40"/>
      <c r="M54" s="40"/>
      <c r="N54" s="40"/>
      <c r="O54" s="40"/>
      <c r="P54" s="40"/>
      <c r="Q54" s="40"/>
      <c r="R54" s="40"/>
      <c r="S54" s="40"/>
      <c r="T54" s="40"/>
      <c r="U54" s="40"/>
      <c r="V54" s="40"/>
      <c r="W54" s="39"/>
      <c r="X54" s="39"/>
      <c r="Y54" s="39"/>
    </row>
    <row r="55" spans="1:25" s="38" customFormat="1">
      <c r="A55" s="38" t="s">
        <v>83</v>
      </c>
      <c r="B55" s="41">
        <f t="shared" ref="B55" si="65">IF(B42=0,IF(B54="","","*"&amp;TEXT(B54,"0.0x")),(B41+B42-B44)/B47)</f>
        <v>4.5948376164925158</v>
      </c>
      <c r="C55" s="41">
        <f t="shared" ref="C55:D55" si="66">IF(C42=0,IF(C54="","","*"&amp;TEXT(C54,"0.0x")),(C41+C42-C44)/C47)</f>
        <v>4.7020799294958557</v>
      </c>
      <c r="D55" s="41">
        <f t="shared" si="66"/>
        <v>5.059824141281009</v>
      </c>
      <c r="E55" s="41">
        <f t="shared" ref="E55:F55" si="67">IF(E42=0,IF(E54="","","*"&amp;TEXT(E54,"0.0x")),(E41+E42-E44)/E47)</f>
        <v>5.8913496133290515</v>
      </c>
      <c r="F55" s="41">
        <f t="shared" si="67"/>
        <v>7.1908095618562271</v>
      </c>
      <c r="G55" s="41">
        <f t="shared" ref="G55:H55" si="68">IF(G42=0,IF(G54="","","*"&amp;TEXT(G54,"0.0x")),(G41+G42-G44)/G47)</f>
        <v>8.2605631054700837</v>
      </c>
      <c r="H55" s="41">
        <f t="shared" si="68"/>
        <v>8.2488321972245782</v>
      </c>
      <c r="I55" s="41">
        <f t="shared" ref="I55:J55" si="69">IF(I42=0,IF(I54="","","*"&amp;TEXT(I54,"0.0x")),(I41+I42-I44)/I47)</f>
        <v>7.4451919309228076</v>
      </c>
      <c r="J55" s="41">
        <f t="shared" si="69"/>
        <v>7.4324018581365685</v>
      </c>
      <c r="K55" s="41">
        <f t="shared" ref="K55:L55" si="70">IF(K42=0,IF(K54="","","*"&amp;TEXT(K54,"0.0x")),(K41+K42-K44)/K47)</f>
        <v>7.6107527097149044</v>
      </c>
      <c r="L55" s="41">
        <f t="shared" si="70"/>
        <v>7.7303442893961334</v>
      </c>
      <c r="M55" s="41">
        <f t="shared" ref="M55:V55" si="71">IF(M42=0,IF(M54="","","*"&amp;TEXT(M54,"0.0x")),(M41+M42-M44)/M47)</f>
        <v>8.4825647466953775</v>
      </c>
      <c r="N55" s="41">
        <f t="shared" si="71"/>
        <v>8.2591273374888683</v>
      </c>
      <c r="O55" s="41">
        <f t="shared" si="71"/>
        <v>8.4461897008587954</v>
      </c>
      <c r="P55" s="41">
        <f t="shared" si="71"/>
        <v>7.9034371947953748</v>
      </c>
      <c r="Q55" s="41">
        <f t="shared" si="71"/>
        <v>7.5926784962254787</v>
      </c>
      <c r="R55" s="41">
        <f t="shared" si="71"/>
        <v>8.5216773276474775</v>
      </c>
      <c r="S55" s="41" t="str">
        <f t="shared" si="71"/>
        <v/>
      </c>
      <c r="T55" s="41" t="str">
        <f t="shared" si="71"/>
        <v/>
      </c>
      <c r="U55" s="41" t="str">
        <f t="shared" si="71"/>
        <v/>
      </c>
      <c r="V55" s="41" t="str">
        <f t="shared" si="71"/>
        <v/>
      </c>
      <c r="W55" s="41" t="str">
        <f>IF(W42=0,IF(W54="","",CONCATENATE("* ",W54,"x")),(W41+W42-W44)/W47)</f>
        <v/>
      </c>
      <c r="X55" s="41" t="str">
        <f>IF(X42=0,IF(X54="","",CONCATENATE("* ",X54,"x")),(X41+X42-X44)/X47)</f>
        <v/>
      </c>
      <c r="Y55" s="41" t="str">
        <f>IF(Y42=0,IF(Y54="","",CONCATENATE("* ",Y54,"x")),(Y41+Y42-Y44)/Y47)</f>
        <v/>
      </c>
    </row>
    <row r="56" spans="1:25">
      <c r="V56" s="42"/>
    </row>
    <row r="57" spans="1:25" ht="80.25" customHeight="1">
      <c r="A57" s="43" t="s">
        <v>84</v>
      </c>
      <c r="B57" s="44" t="s">
        <v>289</v>
      </c>
      <c r="C57" s="44" t="s">
        <v>289</v>
      </c>
      <c r="D57" s="44" t="s">
        <v>289</v>
      </c>
      <c r="E57" s="44" t="s">
        <v>289</v>
      </c>
      <c r="F57" s="44" t="s">
        <v>289</v>
      </c>
      <c r="G57" s="44" t="s">
        <v>289</v>
      </c>
      <c r="H57" s="44" t="s">
        <v>289</v>
      </c>
      <c r="I57" s="44" t="s">
        <v>289</v>
      </c>
      <c r="J57" s="44" t="s">
        <v>289</v>
      </c>
      <c r="K57" s="44" t="s">
        <v>289</v>
      </c>
      <c r="L57" s="44"/>
      <c r="M57" s="44" t="s">
        <v>309</v>
      </c>
      <c r="N57" s="44" t="s">
        <v>270</v>
      </c>
      <c r="O57" s="44"/>
      <c r="P57" s="44"/>
      <c r="Q57" s="44"/>
      <c r="R57" s="44" t="s">
        <v>161</v>
      </c>
      <c r="S57" s="44"/>
      <c r="T57" s="44"/>
      <c r="U57" s="44"/>
      <c r="V57" s="44"/>
      <c r="W57" s="44"/>
      <c r="X57" s="44"/>
      <c r="Y57" s="44"/>
    </row>
    <row r="58" spans="1:25">
      <c r="A58" s="45"/>
      <c r="B58" s="42"/>
      <c r="C58" s="42"/>
      <c r="D58" s="42"/>
      <c r="E58" s="42"/>
      <c r="F58" s="42"/>
      <c r="G58" s="42"/>
      <c r="H58" s="42"/>
      <c r="I58" s="42"/>
      <c r="J58" s="42"/>
      <c r="K58" s="42"/>
      <c r="L58" s="42"/>
      <c r="M58" s="42"/>
      <c r="N58" s="42"/>
      <c r="O58" s="42"/>
      <c r="P58" s="42"/>
      <c r="Q58" s="42"/>
      <c r="R58" s="42"/>
    </row>
    <row r="59" spans="1:25">
      <c r="A59" s="45"/>
    </row>
  </sheetData>
  <pageMargins left="0.7" right="0.7" top="0.75" bottom="0.75" header="0.3" footer="0.3"/>
  <pageSetup orientation="portrait" r:id="rId1"/>
  <ignoredErrors>
    <ignoredError sqref="P46:W51" formulaRange="1"/>
  </ignoredErrors>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2:L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ColWidth="9.109375" defaultRowHeight="13.8"/>
  <cols>
    <col min="1" max="1" width="22.6640625" style="14" customWidth="1"/>
    <col min="2" max="12" width="10.6640625" style="14" customWidth="1"/>
    <col min="13" max="16384" width="9.109375" style="14"/>
  </cols>
  <sheetData>
    <row r="2" spans="1:12">
      <c r="A2" s="13" t="s">
        <v>44</v>
      </c>
      <c r="B2" s="14" t="s">
        <v>39</v>
      </c>
    </row>
    <row r="3" spans="1:12" s="16" customFormat="1">
      <c r="A3" s="15" t="s">
        <v>45</v>
      </c>
      <c r="B3" s="16" t="s">
        <v>92</v>
      </c>
    </row>
    <row r="4" spans="1:12">
      <c r="A4" s="13" t="s">
        <v>2</v>
      </c>
      <c r="B4" s="14" t="s">
        <v>4</v>
      </c>
    </row>
    <row r="5" spans="1:12">
      <c r="A5" s="13" t="s">
        <v>46</v>
      </c>
    </row>
    <row r="6" spans="1:12">
      <c r="A6" s="13" t="s">
        <v>47</v>
      </c>
      <c r="B6" s="14">
        <v>4</v>
      </c>
    </row>
    <row r="7" spans="1:12">
      <c r="A7" s="13" t="s">
        <v>48</v>
      </c>
      <c r="B7" s="14" t="e">
        <v>#N/A</v>
      </c>
    </row>
    <row r="8" spans="1:12">
      <c r="A8" s="13" t="s">
        <v>347</v>
      </c>
      <c r="B8" s="14" t="e">
        <v>#N/A</v>
      </c>
    </row>
    <row r="9" spans="1:12">
      <c r="A9" s="17"/>
    </row>
    <row r="10" spans="1:12">
      <c r="A10" s="17" t="s">
        <v>49</v>
      </c>
      <c r="B10" s="18">
        <v>43190</v>
      </c>
      <c r="C10" s="18">
        <v>43100</v>
      </c>
      <c r="D10" s="18">
        <v>43008</v>
      </c>
      <c r="E10" s="18">
        <v>42916</v>
      </c>
      <c r="F10" s="18">
        <v>42825</v>
      </c>
      <c r="G10" s="18">
        <v>42735</v>
      </c>
      <c r="H10" s="18">
        <v>42643</v>
      </c>
      <c r="I10" s="18">
        <v>42551</v>
      </c>
      <c r="J10" s="18">
        <v>42460</v>
      </c>
      <c r="K10" s="18">
        <v>42369</v>
      </c>
      <c r="L10" s="18">
        <v>42277</v>
      </c>
    </row>
    <row r="12" spans="1:12">
      <c r="A12" s="19" t="s">
        <v>50</v>
      </c>
      <c r="B12" s="20">
        <v>259.947</v>
      </c>
      <c r="C12" s="20">
        <f>1116.869-F12-E12-D12</f>
        <v>272.25599999999997</v>
      </c>
      <c r="D12" s="20">
        <v>277.327</v>
      </c>
      <c r="E12" s="20">
        <v>282.60199999999998</v>
      </c>
      <c r="F12" s="20">
        <v>284.68400000000003</v>
      </c>
      <c r="G12" s="20">
        <v>278.91800000000001</v>
      </c>
      <c r="H12" s="20">
        <v>295.69299999999998</v>
      </c>
      <c r="I12" s="20">
        <v>297.69900000000001</v>
      </c>
      <c r="J12" s="20">
        <v>295.75599999999997</v>
      </c>
      <c r="K12" s="20">
        <f>1166.645-M12</f>
        <v>1166.645</v>
      </c>
      <c r="L12" s="20">
        <v>293.61500000000001</v>
      </c>
    </row>
    <row r="13" spans="1:12" s="21" customFormat="1">
      <c r="A13" s="21" t="s">
        <v>51</v>
      </c>
      <c r="B13" s="21">
        <f t="shared" ref="B13:H13" si="0">+B12/F12-1</f>
        <v>-8.6892835565047677E-2</v>
      </c>
      <c r="C13" s="21">
        <f t="shared" si="0"/>
        <v>-2.3885156210786129E-2</v>
      </c>
      <c r="D13" s="21">
        <f t="shared" si="0"/>
        <v>-6.2111717220225016E-2</v>
      </c>
      <c r="E13" s="21">
        <f t="shared" si="0"/>
        <v>-5.0712296648628419E-2</v>
      </c>
      <c r="F13" s="21">
        <f t="shared" si="0"/>
        <v>-3.7436265029280769E-2</v>
      </c>
      <c r="G13" s="21">
        <f t="shared" si="0"/>
        <v>-0.76092298856978768</v>
      </c>
      <c r="H13" s="21">
        <f t="shared" si="0"/>
        <v>7.0772950973212456E-3</v>
      </c>
    </row>
    <row r="14" spans="1:12" s="24" customFormat="1">
      <c r="A14" s="22" t="s">
        <v>52</v>
      </c>
      <c r="B14" s="23" t="s">
        <v>3</v>
      </c>
      <c r="C14" s="23" t="s">
        <v>3</v>
      </c>
      <c r="D14" s="23" t="s">
        <v>3</v>
      </c>
      <c r="E14" s="23" t="s">
        <v>3</v>
      </c>
      <c r="F14" s="23" t="s">
        <v>3</v>
      </c>
      <c r="G14" s="23" t="s">
        <v>3</v>
      </c>
      <c r="H14" s="23" t="s">
        <v>3</v>
      </c>
      <c r="I14" s="22"/>
      <c r="J14" s="22"/>
      <c r="K14" s="22"/>
      <c r="L14" s="22"/>
    </row>
    <row r="16" spans="1:12" s="17" customFormat="1">
      <c r="A16" s="25" t="s">
        <v>53</v>
      </c>
      <c r="B16" s="26">
        <v>25.256</v>
      </c>
      <c r="C16" s="26">
        <v>26.878</v>
      </c>
      <c r="D16" s="26">
        <v>26.417999999999999</v>
      </c>
      <c r="E16" s="26">
        <v>29.686</v>
      </c>
      <c r="F16" s="26">
        <v>30.57</v>
      </c>
      <c r="G16" s="26">
        <v>28.402999999999999</v>
      </c>
      <c r="H16" s="26">
        <v>33.198</v>
      </c>
      <c r="I16" s="26">
        <v>31.154</v>
      </c>
      <c r="J16" s="26">
        <v>30.062000000000001</v>
      </c>
      <c r="K16" s="26">
        <v>30.077914</v>
      </c>
      <c r="L16" s="26">
        <v>30.249313999999998</v>
      </c>
    </row>
    <row r="17" spans="1:12" s="21" customFormat="1">
      <c r="A17" s="21" t="s">
        <v>54</v>
      </c>
      <c r="B17" s="21">
        <f>+B16/B12</f>
        <v>9.7158266877478874E-2</v>
      </c>
      <c r="C17" s="21">
        <f>+C16/C12</f>
        <v>9.872326046074284E-2</v>
      </c>
      <c r="D17" s="21">
        <f>+D16/D12</f>
        <v>9.5259386933115059E-2</v>
      </c>
      <c r="E17" s="21">
        <f>+E16/E12</f>
        <v>0.10504525799534328</v>
      </c>
      <c r="F17" s="21">
        <f t="shared" ref="F17:L17" si="1">+F16/F12</f>
        <v>0.10738222028635258</v>
      </c>
      <c r="G17" s="21">
        <f t="shared" si="1"/>
        <v>0.10183279673595823</v>
      </c>
      <c r="H17" s="21">
        <f t="shared" si="1"/>
        <v>0.1122718495196031</v>
      </c>
      <c r="I17" s="21">
        <f t="shared" si="1"/>
        <v>0.10464932700479343</v>
      </c>
      <c r="J17" s="21">
        <f t="shared" si="1"/>
        <v>0.10164459892614183</v>
      </c>
      <c r="K17" s="21">
        <f t="shared" si="1"/>
        <v>2.5781547943033226E-2</v>
      </c>
      <c r="L17" s="21">
        <f t="shared" si="1"/>
        <v>0.10302373516339423</v>
      </c>
    </row>
    <row r="18" spans="1:12" s="24" customFormat="1"/>
    <row r="19" spans="1:12" s="24" customFormat="1">
      <c r="A19" s="19" t="s">
        <v>55</v>
      </c>
      <c r="B19" s="20">
        <v>0</v>
      </c>
      <c r="C19" s="20">
        <v>0</v>
      </c>
      <c r="D19" s="20">
        <v>0</v>
      </c>
      <c r="E19" s="20">
        <v>0</v>
      </c>
      <c r="F19" s="20">
        <v>0</v>
      </c>
      <c r="G19" s="20">
        <v>0</v>
      </c>
      <c r="H19" s="20">
        <v>0</v>
      </c>
      <c r="I19" s="20">
        <v>0</v>
      </c>
      <c r="J19" s="20">
        <v>0</v>
      </c>
      <c r="K19" s="20">
        <v>0</v>
      </c>
      <c r="L19" s="20">
        <v>0</v>
      </c>
    </row>
    <row r="20" spans="1:12" s="24" customFormat="1">
      <c r="A20" s="19" t="s">
        <v>56</v>
      </c>
      <c r="B20" s="20">
        <v>0</v>
      </c>
      <c r="C20" s="20">
        <v>0</v>
      </c>
      <c r="D20" s="20">
        <v>0</v>
      </c>
      <c r="E20" s="20">
        <v>0</v>
      </c>
      <c r="F20" s="20">
        <v>0</v>
      </c>
      <c r="G20" s="20">
        <v>0</v>
      </c>
      <c r="H20" s="20">
        <v>0</v>
      </c>
      <c r="I20" s="20">
        <v>0</v>
      </c>
      <c r="J20" s="20">
        <v>0</v>
      </c>
      <c r="K20" s="20">
        <v>0</v>
      </c>
      <c r="L20" s="20">
        <v>0</v>
      </c>
    </row>
    <row r="21" spans="1:12" s="24" customFormat="1">
      <c r="A21" s="19" t="s">
        <v>57</v>
      </c>
      <c r="B21" s="20">
        <v>0</v>
      </c>
      <c r="C21" s="20">
        <v>0</v>
      </c>
      <c r="D21" s="20">
        <v>0</v>
      </c>
      <c r="E21" s="20">
        <v>0</v>
      </c>
      <c r="F21" s="20">
        <v>0</v>
      </c>
      <c r="G21" s="20">
        <v>0</v>
      </c>
      <c r="H21" s="20">
        <v>0</v>
      </c>
      <c r="I21" s="20">
        <v>0</v>
      </c>
      <c r="J21" s="20">
        <v>0</v>
      </c>
      <c r="K21" s="20">
        <v>0</v>
      </c>
      <c r="L21" s="20">
        <v>0</v>
      </c>
    </row>
    <row r="22" spans="1:12" s="17" customFormat="1">
      <c r="A22" s="17" t="s">
        <v>58</v>
      </c>
      <c r="B22" s="27">
        <f>SUM(B16,B19:B21)</f>
        <v>25.256</v>
      </c>
      <c r="C22" s="27">
        <f>SUM(C16,C19:C21)</f>
        <v>26.878</v>
      </c>
      <c r="D22" s="27">
        <f>SUM(D16,D19:D21)</f>
        <v>26.417999999999999</v>
      </c>
      <c r="E22" s="27">
        <f>SUM(E16,E19:E21)</f>
        <v>29.686</v>
      </c>
      <c r="F22" s="27">
        <f t="shared" ref="F22:L22" si="2">SUM(F16,F19:F21)</f>
        <v>30.57</v>
      </c>
      <c r="G22" s="27">
        <f t="shared" si="2"/>
        <v>28.402999999999999</v>
      </c>
      <c r="H22" s="27">
        <f t="shared" si="2"/>
        <v>33.198</v>
      </c>
      <c r="I22" s="27">
        <f t="shared" si="2"/>
        <v>31.154</v>
      </c>
      <c r="J22" s="27">
        <f t="shared" si="2"/>
        <v>30.062000000000001</v>
      </c>
      <c r="K22" s="27">
        <f t="shared" si="2"/>
        <v>30.077914</v>
      </c>
      <c r="L22" s="27">
        <f t="shared" si="2"/>
        <v>30.249313999999998</v>
      </c>
    </row>
    <row r="23" spans="1:12" s="17" customFormat="1">
      <c r="B23" s="27"/>
      <c r="C23" s="27"/>
      <c r="D23" s="27"/>
      <c r="E23" s="27"/>
      <c r="F23" s="27"/>
      <c r="G23" s="27"/>
      <c r="H23" s="27"/>
      <c r="I23" s="27"/>
      <c r="J23" s="27"/>
      <c r="K23" s="27"/>
      <c r="L23" s="27"/>
    </row>
    <row r="24" spans="1:12" s="17" customFormat="1">
      <c r="A24" s="17" t="s">
        <v>59</v>
      </c>
      <c r="B24" s="27">
        <f t="shared" ref="B24:I24" si="3">SUM(B22:E22)</f>
        <v>108.238</v>
      </c>
      <c r="C24" s="27">
        <f t="shared" si="3"/>
        <v>113.55199999999999</v>
      </c>
      <c r="D24" s="27">
        <f t="shared" si="3"/>
        <v>115.077</v>
      </c>
      <c r="E24" s="27">
        <f t="shared" si="3"/>
        <v>121.857</v>
      </c>
      <c r="F24" s="27">
        <f t="shared" si="3"/>
        <v>123.32499999999999</v>
      </c>
      <c r="G24" s="27">
        <f t="shared" si="3"/>
        <v>122.81699999999999</v>
      </c>
      <c r="H24" s="27">
        <f t="shared" si="3"/>
        <v>124.49191400000001</v>
      </c>
      <c r="I24" s="27">
        <f t="shared" si="3"/>
        <v>121.543228</v>
      </c>
      <c r="J24" s="27"/>
      <c r="K24" s="27"/>
      <c r="L24" s="27"/>
    </row>
    <row r="25" spans="1:12" s="24" customFormat="1">
      <c r="A25" s="19" t="s">
        <v>60</v>
      </c>
      <c r="B25" s="28">
        <v>0</v>
      </c>
      <c r="C25" s="28">
        <v>0</v>
      </c>
      <c r="D25" s="28">
        <v>0</v>
      </c>
      <c r="E25" s="28">
        <v>0</v>
      </c>
      <c r="F25" s="28">
        <v>0</v>
      </c>
      <c r="G25" s="28">
        <v>0</v>
      </c>
      <c r="H25" s="28">
        <v>0</v>
      </c>
      <c r="I25" s="28">
        <v>0</v>
      </c>
      <c r="J25" s="28"/>
      <c r="K25" s="28"/>
      <c r="L25" s="28"/>
    </row>
    <row r="26" spans="1:12" s="24" customFormat="1">
      <c r="A26" s="19" t="s">
        <v>61</v>
      </c>
      <c r="B26" s="29">
        <v>0</v>
      </c>
      <c r="C26" s="29">
        <v>0</v>
      </c>
      <c r="D26" s="29">
        <v>0</v>
      </c>
      <c r="E26" s="29">
        <v>0</v>
      </c>
      <c r="F26" s="29">
        <v>0</v>
      </c>
      <c r="G26" s="29">
        <v>0</v>
      </c>
      <c r="H26" s="29">
        <v>0</v>
      </c>
      <c r="I26" s="29">
        <v>0</v>
      </c>
      <c r="J26" s="30"/>
      <c r="K26" s="30"/>
      <c r="L26" s="30"/>
    </row>
    <row r="27" spans="1:12" s="32" customFormat="1">
      <c r="A27" s="17" t="s">
        <v>62</v>
      </c>
      <c r="B27" s="27">
        <f t="shared" ref="B27:I27" si="4">SUM(B24:B26)</f>
        <v>108.238</v>
      </c>
      <c r="C27" s="27">
        <f t="shared" si="4"/>
        <v>113.55199999999999</v>
      </c>
      <c r="D27" s="27">
        <f t="shared" si="4"/>
        <v>115.077</v>
      </c>
      <c r="E27" s="27">
        <f t="shared" si="4"/>
        <v>121.857</v>
      </c>
      <c r="F27" s="27">
        <f t="shared" si="4"/>
        <v>123.32499999999999</v>
      </c>
      <c r="G27" s="27">
        <f t="shared" si="4"/>
        <v>122.81699999999999</v>
      </c>
      <c r="H27" s="27">
        <f t="shared" si="4"/>
        <v>124.49191400000001</v>
      </c>
      <c r="I27" s="27">
        <f t="shared" si="4"/>
        <v>121.543228</v>
      </c>
      <c r="J27" s="31"/>
      <c r="K27" s="31"/>
      <c r="L27" s="31"/>
    </row>
    <row r="28" spans="1:12" s="24" customFormat="1"/>
    <row r="29" spans="1:12" s="17" customFormat="1">
      <c r="A29" s="17" t="s">
        <v>58</v>
      </c>
      <c r="B29" s="27">
        <f>B22</f>
        <v>25.256</v>
      </c>
      <c r="C29" s="27">
        <f>C22</f>
        <v>26.878</v>
      </c>
      <c r="D29" s="27">
        <f>D22</f>
        <v>26.417999999999999</v>
      </c>
      <c r="E29" s="27">
        <f t="shared" ref="E29:L29" si="5">E22</f>
        <v>29.686</v>
      </c>
      <c r="F29" s="27">
        <f t="shared" si="5"/>
        <v>30.57</v>
      </c>
      <c r="G29" s="27">
        <f t="shared" si="5"/>
        <v>28.402999999999999</v>
      </c>
      <c r="H29" s="27">
        <f t="shared" si="5"/>
        <v>33.198</v>
      </c>
      <c r="I29" s="27">
        <f t="shared" si="5"/>
        <v>31.154</v>
      </c>
      <c r="J29" s="27">
        <f t="shared" si="5"/>
        <v>30.062000000000001</v>
      </c>
      <c r="K29" s="27">
        <f t="shared" si="5"/>
        <v>30.077914</v>
      </c>
      <c r="L29" s="27">
        <f t="shared" si="5"/>
        <v>30.249313999999998</v>
      </c>
    </row>
    <row r="30" spans="1:12" s="33" customFormat="1">
      <c r="A30" s="20" t="s">
        <v>63</v>
      </c>
      <c r="B30" s="20">
        <f>-14.956-0.029-0.048</f>
        <v>-15.032999999999999</v>
      </c>
      <c r="C30" s="20">
        <f>-58.618-F30-E30-D30</f>
        <v>-15.687000000000001</v>
      </c>
      <c r="D30" s="20">
        <f>-14.532-0.026-0.05</f>
        <v>-14.608000000000001</v>
      </c>
      <c r="E30" s="20">
        <f>-14.255-0.075-0.05</f>
        <v>-14.38</v>
      </c>
      <c r="F30" s="20">
        <f>-13.828-0.049-0.066</f>
        <v>-13.943</v>
      </c>
      <c r="G30" s="20">
        <f>-56.932-J30-I30-H30</f>
        <v>-16.040000000000003</v>
      </c>
      <c r="H30" s="20">
        <f>-0.241-14.024-0.051</f>
        <v>-14.315999999999999</v>
      </c>
      <c r="I30" s="20">
        <f>-13.307-0.052</f>
        <v>-13.359</v>
      </c>
      <c r="J30" s="20">
        <f>-13.164-0.051-0.002</f>
        <v>-13.217000000000001</v>
      </c>
      <c r="K30" s="20">
        <f>-56.175-(-39.894-0.167)</f>
        <v>-16.113999999999997</v>
      </c>
      <c r="L30" s="20">
        <f>-(0.009+13.193+0.056)</f>
        <v>-13.257999999999999</v>
      </c>
    </row>
    <row r="31" spans="1:12" s="33" customFormat="1">
      <c r="A31" s="20" t="s">
        <v>64</v>
      </c>
      <c r="B31" s="20">
        <v>-0.61599999999999999</v>
      </c>
      <c r="C31" s="20">
        <f>-1.104-F31-E31-D31</f>
        <v>-0.65200000000000014</v>
      </c>
      <c r="D31" s="20">
        <v>-0.45200000000000001</v>
      </c>
      <c r="E31" s="20">
        <v>0</v>
      </c>
      <c r="F31" s="20">
        <v>0</v>
      </c>
      <c r="G31" s="20">
        <f>-0.32-J31-I31-H31</f>
        <v>5.4779999999999998</v>
      </c>
      <c r="H31" s="20">
        <v>-5.798</v>
      </c>
      <c r="I31" s="20">
        <v>0</v>
      </c>
      <c r="J31" s="20">
        <v>0</v>
      </c>
      <c r="K31" s="20">
        <f>-0.247-M31</f>
        <v>-0.247</v>
      </c>
      <c r="L31" s="20">
        <v>0</v>
      </c>
    </row>
    <row r="32" spans="1:12" s="33" customFormat="1">
      <c r="A32" s="20" t="s">
        <v>65</v>
      </c>
      <c r="B32" s="20">
        <f>-5.228-2.074-1.736-1.046-16.737-0.143-2.207+0.109+0.003</f>
        <v>-29.058999999999997</v>
      </c>
      <c r="C32" s="20">
        <f>5.085+0.519+12.56+8.448-3.773-2.372-9.365-12.581+0.072-F32-E32-D32</f>
        <v>10.820000000000004</v>
      </c>
      <c r="D32" s="20">
        <f>0.445+3.543-0.423+5.423-6.484-0.329-2.265+1.108+0.013</f>
        <v>1.0309999999999993</v>
      </c>
      <c r="E32" s="20">
        <f>-3.802+2.217-0.311+0.393+9.868-2.697-2.266+0.855+0.017</f>
        <v>4.274</v>
      </c>
      <c r="F32" s="20">
        <f>1.957-1.281-0.626+1.525-19.344+1.972-2.265+0.498+0.032</f>
        <v>-17.532</v>
      </c>
      <c r="G32" s="20">
        <f>5.343+6.151+13.686-0.34-1.942-7.002-J32-I32-H32</f>
        <v>5.7809999999999988</v>
      </c>
      <c r="H32" s="20">
        <f>17.174-2.985-5.713+0.439-0.34-0.065-1.011+2.048</f>
        <v>9.5470000000000006</v>
      </c>
      <c r="I32" s="20">
        <f>13.311+1.865-1.339-5.681+11.28-5.049-1.25+0.892+0.331</f>
        <v>14.36</v>
      </c>
      <c r="J32" s="20">
        <f>-15.418+1.031-1.012+11.538-11.459+3.362-1.249-0.607+0.022</f>
        <v>-13.791999999999998</v>
      </c>
      <c r="K32" s="20">
        <f>39.895-14.377-5.173-0.448-9.73-6.459-4.968-2.912-(33.239+2.969+0.909-2.066-0.448-7.431-4.962-1.5+7.935)</f>
        <v>-32.816999999999993</v>
      </c>
      <c r="L32" s="20">
        <f>7.764+2.867+11.972-1.835-0.448-2.787-1.394-1.065</f>
        <v>15.074000000000003</v>
      </c>
    </row>
    <row r="33" spans="1:12" s="33" customFormat="1">
      <c r="A33" s="20" t="s">
        <v>66</v>
      </c>
      <c r="B33" s="20">
        <v>0</v>
      </c>
      <c r="C33" s="20">
        <v>0</v>
      </c>
      <c r="D33" s="20">
        <v>0</v>
      </c>
      <c r="E33" s="20">
        <v>0</v>
      </c>
      <c r="F33" s="20">
        <v>0</v>
      </c>
      <c r="G33" s="20">
        <v>0</v>
      </c>
      <c r="H33" s="20">
        <v>0</v>
      </c>
      <c r="I33" s="20">
        <v>0</v>
      </c>
      <c r="J33" s="20">
        <v>0</v>
      </c>
      <c r="K33" s="20">
        <v>0</v>
      </c>
      <c r="L33" s="20">
        <v>0</v>
      </c>
    </row>
    <row r="34" spans="1:12" s="33" customFormat="1">
      <c r="A34" s="20" t="s">
        <v>57</v>
      </c>
      <c r="B34" s="29">
        <v>0</v>
      </c>
      <c r="C34" s="29">
        <v>0</v>
      </c>
      <c r="D34" s="29">
        <v>0</v>
      </c>
      <c r="E34" s="29">
        <v>0</v>
      </c>
      <c r="F34" s="29">
        <v>0</v>
      </c>
      <c r="G34" s="29">
        <v>0</v>
      </c>
      <c r="H34" s="29">
        <f>H35-H29-H30-H31-H32-H33</f>
        <v>1.7259999999999973</v>
      </c>
      <c r="I34" s="29">
        <v>0</v>
      </c>
      <c r="J34" s="29">
        <v>0</v>
      </c>
      <c r="K34" s="29">
        <v>0</v>
      </c>
      <c r="L34" s="29">
        <v>0</v>
      </c>
    </row>
    <row r="35" spans="1:12" s="27" customFormat="1">
      <c r="A35" s="27" t="s">
        <v>67</v>
      </c>
      <c r="B35" s="27">
        <v>-17.358000000000001</v>
      </c>
      <c r="C35" s="27">
        <f>40.989-F35-E35-D35</f>
        <v>17.414999999999999</v>
      </c>
      <c r="D35" s="27">
        <v>12.01</v>
      </c>
      <c r="E35" s="27">
        <v>15.927</v>
      </c>
      <c r="F35" s="27">
        <v>-4.3630000000000004</v>
      </c>
      <c r="G35" s="27">
        <f>65.227-J35-I35-H35</f>
        <v>10.893000000000001</v>
      </c>
      <c r="H35" s="27">
        <v>24.356999999999999</v>
      </c>
      <c r="I35" s="27">
        <v>28.506</v>
      </c>
      <c r="J35" s="27">
        <v>1.4710000000000001</v>
      </c>
      <c r="K35" s="27">
        <f>48.489-M35</f>
        <v>48.488999999999997</v>
      </c>
      <c r="L35" s="27">
        <v>30.210999999999999</v>
      </c>
    </row>
    <row r="36" spans="1:12" s="33" customFormat="1">
      <c r="A36" s="20" t="s">
        <v>68</v>
      </c>
      <c r="B36" s="29">
        <v>-2.585</v>
      </c>
      <c r="C36" s="29">
        <f>-8.41-F36-E36-D36</f>
        <v>-3.5000000000000004</v>
      </c>
      <c r="D36" s="29">
        <v>-1.6930000000000001</v>
      </c>
      <c r="E36" s="29">
        <v>-1.6220000000000001</v>
      </c>
      <c r="F36" s="29">
        <v>-1.595</v>
      </c>
      <c r="G36" s="29">
        <f>-10.195-J36-I36-H36</f>
        <v>-2.7300000000000004</v>
      </c>
      <c r="H36" s="29">
        <v>-1.8160000000000001</v>
      </c>
      <c r="I36" s="29">
        <v>-2.8879999999999999</v>
      </c>
      <c r="J36" s="29">
        <v>-2.7610000000000001</v>
      </c>
      <c r="K36" s="29">
        <f>-14.107-M36</f>
        <v>-14.106999999999999</v>
      </c>
      <c r="L36" s="29">
        <v>-2.7770000000000001</v>
      </c>
    </row>
    <row r="37" spans="1:12" s="27" customFormat="1">
      <c r="A37" s="27" t="s">
        <v>69</v>
      </c>
      <c r="B37" s="27">
        <f>+B35+B36</f>
        <v>-19.943000000000001</v>
      </c>
      <c r="C37" s="27">
        <f>+C35+C36</f>
        <v>13.914999999999999</v>
      </c>
      <c r="D37" s="27">
        <f>+D35+D36</f>
        <v>10.317</v>
      </c>
      <c r="E37" s="27">
        <f>+E35+E36</f>
        <v>14.305</v>
      </c>
      <c r="F37" s="27">
        <f t="shared" ref="F37:L37" si="6">+F35+F36</f>
        <v>-5.9580000000000002</v>
      </c>
      <c r="G37" s="27">
        <f t="shared" si="6"/>
        <v>8.1630000000000003</v>
      </c>
      <c r="H37" s="27">
        <f t="shared" si="6"/>
        <v>22.541</v>
      </c>
      <c r="I37" s="27">
        <f t="shared" si="6"/>
        <v>25.618000000000002</v>
      </c>
      <c r="J37" s="27">
        <f t="shared" si="6"/>
        <v>-1.29</v>
      </c>
      <c r="K37" s="27">
        <f t="shared" si="6"/>
        <v>34.381999999999998</v>
      </c>
      <c r="L37" s="27">
        <f t="shared" si="6"/>
        <v>27.433999999999997</v>
      </c>
    </row>
    <row r="39" spans="1:12" s="35" customFormat="1">
      <c r="A39" s="34" t="s">
        <v>70</v>
      </c>
      <c r="B39" s="20">
        <v>0</v>
      </c>
      <c r="C39" s="20">
        <v>0</v>
      </c>
      <c r="D39" s="20">
        <v>0</v>
      </c>
      <c r="E39" s="20">
        <v>0</v>
      </c>
      <c r="F39" s="20">
        <v>0</v>
      </c>
      <c r="G39" s="20">
        <v>0</v>
      </c>
      <c r="H39" s="20">
        <v>0</v>
      </c>
      <c r="I39" s="20">
        <v>0</v>
      </c>
      <c r="J39" s="20"/>
      <c r="K39" s="20"/>
      <c r="L39" s="20"/>
    </row>
    <row r="40" spans="1:12" s="35" customFormat="1">
      <c r="A40" s="34" t="s">
        <v>71</v>
      </c>
      <c r="B40" s="20">
        <v>540.68906200000004</v>
      </c>
      <c r="C40" s="20">
        <v>542.13699999999994</v>
      </c>
      <c r="D40" s="20">
        <v>543.58447699999999</v>
      </c>
      <c r="E40" s="20">
        <v>545.03218400000003</v>
      </c>
      <c r="F40" s="20">
        <v>546.47989199999995</v>
      </c>
      <c r="G40" s="20">
        <v>547.92759799999999</v>
      </c>
      <c r="H40" s="20">
        <v>549.37530600000002</v>
      </c>
      <c r="I40" s="20">
        <v>550.82301299999995</v>
      </c>
      <c r="J40" s="20"/>
      <c r="K40" s="20"/>
      <c r="L40" s="20"/>
    </row>
    <row r="41" spans="1:12" s="35" customFormat="1">
      <c r="A41" s="34" t="s">
        <v>72</v>
      </c>
      <c r="B41" s="20">
        <f t="shared" ref="B41:I41" si="7">B39+B40+244.2</f>
        <v>784.88906199999997</v>
      </c>
      <c r="C41" s="20">
        <f t="shared" si="7"/>
        <v>786.33699999999999</v>
      </c>
      <c r="D41" s="20">
        <f t="shared" si="7"/>
        <v>787.78447699999992</v>
      </c>
      <c r="E41" s="20">
        <f t="shared" si="7"/>
        <v>789.23218399999996</v>
      </c>
      <c r="F41" s="20">
        <f t="shared" si="7"/>
        <v>790.67989199999988</v>
      </c>
      <c r="G41" s="20">
        <f t="shared" si="7"/>
        <v>792.12759800000003</v>
      </c>
      <c r="H41" s="20">
        <f t="shared" si="7"/>
        <v>793.57530599999996</v>
      </c>
      <c r="I41" s="20">
        <f t="shared" si="7"/>
        <v>795.02301299999999</v>
      </c>
      <c r="J41" s="20"/>
      <c r="K41" s="20"/>
      <c r="L41" s="20"/>
    </row>
    <row r="42" spans="1:12" s="35" customFormat="1">
      <c r="A42" s="34" t="s">
        <v>73</v>
      </c>
      <c r="B42" s="36">
        <v>0</v>
      </c>
      <c r="C42" s="36">
        <v>0</v>
      </c>
      <c r="D42" s="36">
        <v>0</v>
      </c>
      <c r="E42" s="36">
        <v>0</v>
      </c>
      <c r="F42" s="36">
        <v>0</v>
      </c>
      <c r="G42" s="36">
        <v>0</v>
      </c>
      <c r="H42" s="36">
        <v>0</v>
      </c>
      <c r="I42" s="36">
        <v>0</v>
      </c>
      <c r="J42" s="36"/>
      <c r="K42" s="36"/>
      <c r="L42" s="36"/>
    </row>
    <row r="43" spans="1:12">
      <c r="B43" s="35"/>
      <c r="C43" s="35"/>
      <c r="D43" s="35"/>
      <c r="E43" s="35"/>
      <c r="F43" s="35"/>
      <c r="G43" s="35"/>
    </row>
    <row r="44" spans="1:12">
      <c r="A44" s="19" t="s">
        <v>74</v>
      </c>
      <c r="B44" s="28">
        <v>44.473999999999997</v>
      </c>
      <c r="C44" s="28">
        <v>66.400999999999996</v>
      </c>
      <c r="D44" s="28">
        <v>54.231999999999999</v>
      </c>
      <c r="E44" s="28">
        <v>46.965000000000003</v>
      </c>
      <c r="F44" s="28">
        <v>34.378999999999998</v>
      </c>
      <c r="G44" s="28">
        <v>38.503999999999998</v>
      </c>
      <c r="H44" s="28">
        <v>32.552</v>
      </c>
      <c r="I44" s="28">
        <v>13.12</v>
      </c>
      <c r="J44" s="28"/>
      <c r="K44" s="28"/>
      <c r="L44" s="28"/>
    </row>
    <row r="46" spans="1:12">
      <c r="A46" s="14" t="s">
        <v>75</v>
      </c>
      <c r="B46" s="33">
        <f t="shared" ref="B46:I46" si="8">SUM(B12:E12)</f>
        <v>1092.1320000000001</v>
      </c>
      <c r="C46" s="33">
        <f t="shared" si="8"/>
        <v>1116.8689999999999</v>
      </c>
      <c r="D46" s="33">
        <f t="shared" si="8"/>
        <v>1123.5309999999999</v>
      </c>
      <c r="E46" s="33">
        <f t="shared" si="8"/>
        <v>1141.8969999999999</v>
      </c>
      <c r="F46" s="33">
        <f t="shared" si="8"/>
        <v>1156.9940000000001</v>
      </c>
      <c r="G46" s="33">
        <f t="shared" si="8"/>
        <v>1168.0659999999998</v>
      </c>
      <c r="H46" s="33">
        <f t="shared" si="8"/>
        <v>2055.7930000000001</v>
      </c>
      <c r="I46" s="33">
        <f t="shared" si="8"/>
        <v>2053.7150000000001</v>
      </c>
    </row>
    <row r="47" spans="1:12">
      <c r="A47" s="14" t="s">
        <v>76</v>
      </c>
      <c r="B47" s="33">
        <f t="shared" ref="B47:I47" si="9">+B27</f>
        <v>108.238</v>
      </c>
      <c r="C47" s="33">
        <f t="shared" si="9"/>
        <v>113.55199999999999</v>
      </c>
      <c r="D47" s="33">
        <f t="shared" si="9"/>
        <v>115.077</v>
      </c>
      <c r="E47" s="33">
        <f t="shared" si="9"/>
        <v>121.857</v>
      </c>
      <c r="F47" s="33">
        <f t="shared" si="9"/>
        <v>123.32499999999999</v>
      </c>
      <c r="G47" s="33">
        <f t="shared" si="9"/>
        <v>122.81699999999999</v>
      </c>
      <c r="H47" s="33">
        <f t="shared" si="9"/>
        <v>124.49191400000001</v>
      </c>
      <c r="I47" s="33">
        <f t="shared" si="9"/>
        <v>121.543228</v>
      </c>
    </row>
    <row r="48" spans="1:12">
      <c r="A48" s="14" t="s">
        <v>77</v>
      </c>
      <c r="B48" s="33">
        <f t="shared" ref="B48:I48" si="10">+SUM(B37:E37)</f>
        <v>18.593999999999998</v>
      </c>
      <c r="C48" s="33">
        <f t="shared" si="10"/>
        <v>32.579000000000001</v>
      </c>
      <c r="D48" s="33">
        <f t="shared" si="10"/>
        <v>26.827000000000002</v>
      </c>
      <c r="E48" s="33">
        <f t="shared" si="10"/>
        <v>39.051000000000002</v>
      </c>
      <c r="F48" s="33">
        <f t="shared" si="10"/>
        <v>50.364000000000004</v>
      </c>
      <c r="G48" s="33">
        <f t="shared" si="10"/>
        <v>55.032000000000004</v>
      </c>
      <c r="H48" s="33">
        <f t="shared" si="10"/>
        <v>81.251000000000005</v>
      </c>
      <c r="I48" s="33">
        <f t="shared" si="10"/>
        <v>86.144000000000005</v>
      </c>
    </row>
    <row r="50" spans="1:12" s="37" customFormat="1">
      <c r="A50" s="37" t="s">
        <v>78</v>
      </c>
      <c r="B50" s="37">
        <f t="shared" ref="B50:I50" si="11">+SUM(B39:B40)/B47</f>
        <v>4.9953718841811563</v>
      </c>
      <c r="C50" s="37">
        <f t="shared" si="11"/>
        <v>4.7743500774975338</v>
      </c>
      <c r="D50" s="37">
        <f t="shared" si="11"/>
        <v>4.7236587415382747</v>
      </c>
      <c r="E50" s="37">
        <f t="shared" si="11"/>
        <v>4.4727195319103545</v>
      </c>
      <c r="F50" s="37">
        <f t="shared" si="11"/>
        <v>4.4312174498276908</v>
      </c>
      <c r="G50" s="37">
        <f t="shared" si="11"/>
        <v>4.4613335124616302</v>
      </c>
      <c r="H50" s="37">
        <f t="shared" si="11"/>
        <v>4.412939670925133</v>
      </c>
      <c r="I50" s="37">
        <f t="shared" si="11"/>
        <v>4.5319103504474967</v>
      </c>
    </row>
    <row r="51" spans="1:12" s="37" customFormat="1">
      <c r="A51" s="37" t="s">
        <v>79</v>
      </c>
      <c r="B51" s="37">
        <f t="shared" ref="B51:I51" si="12">+B41/B47</f>
        <v>7.2515111328738522</v>
      </c>
      <c r="C51" s="37">
        <f t="shared" si="12"/>
        <v>6.9249066506974781</v>
      </c>
      <c r="D51" s="37">
        <f t="shared" si="12"/>
        <v>6.8457161465801155</v>
      </c>
      <c r="E51" s="37">
        <f t="shared" si="12"/>
        <v>6.4767078132565219</v>
      </c>
      <c r="F51" s="37">
        <f t="shared" si="12"/>
        <v>6.4113512426515298</v>
      </c>
      <c r="G51" s="37">
        <f t="shared" si="12"/>
        <v>6.4496576044033</v>
      </c>
      <c r="H51" s="37">
        <f t="shared" si="12"/>
        <v>6.3745128539031048</v>
      </c>
      <c r="I51" s="37">
        <f t="shared" si="12"/>
        <v>6.5410720620321188</v>
      </c>
    </row>
    <row r="52" spans="1:12" s="37" customFormat="1">
      <c r="A52" s="37" t="s">
        <v>80</v>
      </c>
      <c r="B52" s="37">
        <f t="shared" ref="B52:I52" si="13">+(B41-B44)/B47</f>
        <v>6.840620318187697</v>
      </c>
      <c r="C52" s="37">
        <f t="shared" si="13"/>
        <v>6.3401437226997333</v>
      </c>
      <c r="D52" s="37">
        <f t="shared" si="13"/>
        <v>6.3744490819190629</v>
      </c>
      <c r="E52" s="37">
        <f t="shared" si="13"/>
        <v>6.0912970448968871</v>
      </c>
      <c r="F52" s="37">
        <f t="shared" si="13"/>
        <v>6.1325837583620508</v>
      </c>
      <c r="G52" s="37">
        <f t="shared" si="13"/>
        <v>6.1361505166222923</v>
      </c>
      <c r="H52" s="37">
        <f t="shared" si="13"/>
        <v>6.1130340240411103</v>
      </c>
      <c r="I52" s="37">
        <f t="shared" si="13"/>
        <v>6.4331269283057049</v>
      </c>
    </row>
    <row r="53" spans="1:12" s="38" customFormat="1">
      <c r="A53" s="38" t="s">
        <v>81</v>
      </c>
      <c r="B53" s="38">
        <f t="shared" ref="B53:I53" si="14">+B48/B41</f>
        <v>2.3689972125003313E-2</v>
      </c>
      <c r="C53" s="38">
        <f t="shared" si="14"/>
        <v>4.1431345593555942E-2</v>
      </c>
      <c r="D53" s="38">
        <f t="shared" si="14"/>
        <v>3.4053730154929171E-2</v>
      </c>
      <c r="E53" s="38">
        <f t="shared" si="14"/>
        <v>4.9479735864395517E-2</v>
      </c>
      <c r="F53" s="38">
        <f t="shared" si="14"/>
        <v>6.3697079576168117E-2</v>
      </c>
      <c r="G53" s="38">
        <f t="shared" si="14"/>
        <v>6.9473655682427068E-2</v>
      </c>
      <c r="H53" s="38">
        <f t="shared" si="14"/>
        <v>0.10238599838690042</v>
      </c>
      <c r="I53" s="38">
        <f t="shared" si="14"/>
        <v>0.10835409615998123</v>
      </c>
    </row>
    <row r="54" spans="1:12" s="38" customFormat="1">
      <c r="A54" s="39" t="s">
        <v>82</v>
      </c>
      <c r="B54" s="40">
        <v>10</v>
      </c>
      <c r="C54" s="40">
        <v>10</v>
      </c>
      <c r="D54" s="40">
        <v>10</v>
      </c>
      <c r="E54" s="40">
        <v>10</v>
      </c>
      <c r="F54" s="40">
        <v>10</v>
      </c>
      <c r="G54" s="40">
        <v>10</v>
      </c>
      <c r="H54" s="40">
        <v>10</v>
      </c>
      <c r="I54" s="40">
        <v>10</v>
      </c>
      <c r="J54" s="39"/>
      <c r="K54" s="39"/>
      <c r="L54" s="39"/>
    </row>
    <row r="55" spans="1:12" s="38" customFormat="1">
      <c r="A55" s="38" t="s">
        <v>83</v>
      </c>
      <c r="B55" s="41" t="str">
        <f t="shared" ref="B55:I55" si="15">IF(B42=0,IF(B54="","","*"&amp;TEXT(B54,"0.0x")),(B41+B42-B44)/B47)</f>
        <v>*10.0x</v>
      </c>
      <c r="C55" s="41" t="str">
        <f t="shared" si="15"/>
        <v>*10.0x</v>
      </c>
      <c r="D55" s="41" t="str">
        <f t="shared" si="15"/>
        <v>*10.0x</v>
      </c>
      <c r="E55" s="41" t="str">
        <f t="shared" si="15"/>
        <v>*10.0x</v>
      </c>
      <c r="F55" s="41" t="str">
        <f t="shared" si="15"/>
        <v>*10.0x</v>
      </c>
      <c r="G55" s="41" t="str">
        <f t="shared" si="15"/>
        <v>*10.0x</v>
      </c>
      <c r="H55" s="41" t="str">
        <f t="shared" si="15"/>
        <v>*10.0x</v>
      </c>
      <c r="I55" s="41" t="str">
        <f t="shared" si="15"/>
        <v>*10.0x</v>
      </c>
      <c r="J55" s="41" t="str">
        <f>IF(J42=0,IF(J54="","",CONCATENATE("* ",J54,"x")),(J41+J42-J44)/J47)</f>
        <v/>
      </c>
      <c r="K55" s="41" t="str">
        <f>IF(K42=0,IF(K54="","",CONCATENATE("* ",K54,"x")),(K41+K42-K44)/K47)</f>
        <v/>
      </c>
      <c r="L55" s="41" t="str">
        <f>IF(L42=0,IF(L54="","",CONCATENATE("* ",L54,"x")),(L41+L42-L44)/L47)</f>
        <v/>
      </c>
    </row>
    <row r="56" spans="1:12">
      <c r="I56" s="42"/>
    </row>
    <row r="57" spans="1:12" ht="80.25" customHeight="1">
      <c r="A57" s="43" t="s">
        <v>84</v>
      </c>
      <c r="B57" s="44"/>
      <c r="C57" s="44"/>
      <c r="D57" s="44"/>
      <c r="E57" s="44"/>
      <c r="F57" s="44"/>
      <c r="G57" s="44"/>
      <c r="H57" s="44"/>
      <c r="I57" s="44"/>
      <c r="J57" s="44"/>
      <c r="K57" s="44"/>
      <c r="L57" s="44"/>
    </row>
    <row r="58" spans="1:12">
      <c r="A58" s="45"/>
      <c r="B58" s="42"/>
      <c r="C58" s="42"/>
      <c r="D58" s="42"/>
      <c r="E58" s="42"/>
    </row>
    <row r="59" spans="1:12">
      <c r="A59"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E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25" width="10.6640625" style="14" customWidth="1"/>
    <col min="26" max="16384" width="9.109375" style="14"/>
  </cols>
  <sheetData>
    <row r="2" spans="1:31">
      <c r="A2" s="13" t="s">
        <v>44</v>
      </c>
      <c r="B2" s="14" t="s">
        <v>9</v>
      </c>
    </row>
    <row r="3" spans="1:31" s="16" customFormat="1">
      <c r="A3" s="15" t="s">
        <v>45</v>
      </c>
      <c r="B3" s="16" t="s">
        <v>120</v>
      </c>
    </row>
    <row r="4" spans="1:31">
      <c r="A4" s="13" t="s">
        <v>2</v>
      </c>
      <c r="B4" s="14" t="s">
        <v>4</v>
      </c>
    </row>
    <row r="5" spans="1:31">
      <c r="A5" s="13" t="s">
        <v>46</v>
      </c>
    </row>
    <row r="6" spans="1:31">
      <c r="A6" s="13" t="s">
        <v>47</v>
      </c>
      <c r="B6" s="14">
        <v>2</v>
      </c>
    </row>
    <row r="7" spans="1:31">
      <c r="A7" s="13" t="s">
        <v>48</v>
      </c>
      <c r="B7" s="14" t="s">
        <v>448</v>
      </c>
    </row>
    <row r="8" spans="1:31">
      <c r="A8" s="13" t="s">
        <v>347</v>
      </c>
      <c r="B8" s="14" t="s">
        <v>400</v>
      </c>
    </row>
    <row r="9" spans="1:31">
      <c r="A9" s="17"/>
    </row>
    <row r="10" spans="1:31">
      <c r="A10" s="17" t="s">
        <v>49</v>
      </c>
      <c r="B10" s="18">
        <v>44377</v>
      </c>
      <c r="C10" s="18">
        <v>44286</v>
      </c>
      <c r="D10" s="18">
        <v>44196</v>
      </c>
      <c r="E10" s="18">
        <v>44104</v>
      </c>
      <c r="F10" s="18">
        <v>44012</v>
      </c>
      <c r="G10" s="18">
        <v>43921</v>
      </c>
      <c r="H10" s="18">
        <v>43830</v>
      </c>
      <c r="I10" s="18">
        <v>43738</v>
      </c>
      <c r="J10" s="18">
        <v>43646</v>
      </c>
      <c r="K10" s="18">
        <v>43555</v>
      </c>
      <c r="L10" s="18">
        <v>43465</v>
      </c>
      <c r="M10" s="18">
        <v>43373</v>
      </c>
      <c r="N10" s="18">
        <v>43281</v>
      </c>
      <c r="O10" s="18">
        <v>43190</v>
      </c>
      <c r="P10" s="18">
        <v>43100</v>
      </c>
      <c r="Q10" s="18">
        <v>43008</v>
      </c>
      <c r="R10" s="18">
        <v>42916</v>
      </c>
      <c r="S10" s="18">
        <v>42825</v>
      </c>
      <c r="T10" s="18">
        <v>42735</v>
      </c>
      <c r="U10" s="18">
        <v>42643</v>
      </c>
      <c r="V10" s="18">
        <v>42551</v>
      </c>
      <c r="W10" s="18">
        <v>42460</v>
      </c>
      <c r="X10" s="18">
        <v>42369</v>
      </c>
      <c r="Y10" s="18">
        <v>42277</v>
      </c>
    </row>
    <row r="11" spans="1:31">
      <c r="B11" s="33"/>
      <c r="C11" s="33"/>
      <c r="D11" s="33"/>
      <c r="E11" s="33"/>
      <c r="F11" s="33"/>
      <c r="G11" s="33"/>
      <c r="H11" s="33"/>
    </row>
    <row r="12" spans="1:31">
      <c r="A12" s="19" t="s">
        <v>50</v>
      </c>
      <c r="B12" s="20">
        <v>1283.3</v>
      </c>
      <c r="C12" s="20">
        <v>1425.1</v>
      </c>
      <c r="D12" s="20">
        <f>4710.8-E12-F12-G12</f>
        <v>1437.9000000000005</v>
      </c>
      <c r="E12" s="20">
        <v>1414.1</v>
      </c>
      <c r="F12" s="20">
        <v>515.29999999999995</v>
      </c>
      <c r="G12" s="20">
        <v>1343.5</v>
      </c>
      <c r="H12" s="20">
        <f>6530.9-I12-J12-K12</f>
        <v>1429.9999999999998</v>
      </c>
      <c r="I12" s="20">
        <v>1677.4</v>
      </c>
      <c r="J12" s="20">
        <v>1704.3</v>
      </c>
      <c r="K12" s="20">
        <v>1719.2</v>
      </c>
      <c r="L12" s="20">
        <f>7270.4-M12-N12-O12</f>
        <v>1694.0999999999995</v>
      </c>
      <c r="M12" s="20">
        <v>1817</v>
      </c>
      <c r="N12" s="20">
        <v>1900.9</v>
      </c>
      <c r="O12" s="20">
        <v>1858.4</v>
      </c>
      <c r="P12" s="20">
        <f>6266-S12-R12-Q12</f>
        <v>1733.9</v>
      </c>
      <c r="Q12" s="20">
        <v>1724.4</v>
      </c>
      <c r="R12" s="20">
        <v>1757.8</v>
      </c>
      <c r="S12" s="20">
        <v>1049.9000000000001</v>
      </c>
      <c r="T12" s="20">
        <f>3948-W12-V12-U12</f>
        <v>946.50000000000011</v>
      </c>
      <c r="U12" s="20">
        <v>1006.9</v>
      </c>
      <c r="V12" s="20">
        <v>1025.4000000000001</v>
      </c>
      <c r="W12" s="20">
        <v>969.2</v>
      </c>
      <c r="X12" s="20">
        <f>3903.1-2944.7</f>
        <v>958.40000000000009</v>
      </c>
      <c r="Y12" s="20">
        <v>971.6</v>
      </c>
      <c r="AB12" s="134"/>
      <c r="AC12" s="134"/>
      <c r="AD12" s="134"/>
    </row>
    <row r="13" spans="1:31" s="21" customFormat="1">
      <c r="A13" s="21" t="s">
        <v>51</v>
      </c>
      <c r="B13" s="21">
        <f t="shared" ref="B13:U13" si="0">+B12/F12-1</f>
        <v>1.4903939452745973</v>
      </c>
      <c r="C13" s="21">
        <f t="shared" si="0"/>
        <v>6.073688128023802E-2</v>
      </c>
      <c r="D13" s="21">
        <f t="shared" si="0"/>
        <v>5.5244755244761024E-3</v>
      </c>
      <c r="E13" s="21">
        <f t="shared" si="0"/>
        <v>-0.15696911887444864</v>
      </c>
      <c r="F13" s="21">
        <f t="shared" si="0"/>
        <v>-0.69764712785307759</v>
      </c>
      <c r="G13" s="21">
        <f t="shared" si="0"/>
        <v>-0.21853187529083296</v>
      </c>
      <c r="H13" s="21">
        <f t="shared" si="0"/>
        <v>-0.15589398500678808</v>
      </c>
      <c r="I13" s="21">
        <f t="shared" si="0"/>
        <v>-7.6829939460649421E-2</v>
      </c>
      <c r="J13" s="21">
        <f t="shared" si="0"/>
        <v>-0.10342469356620554</v>
      </c>
      <c r="K13" s="21">
        <f t="shared" si="0"/>
        <v>-7.4903142488161878E-2</v>
      </c>
      <c r="L13" s="21">
        <f t="shared" si="0"/>
        <v>-2.2954034258031442E-2</v>
      </c>
      <c r="M13" s="21">
        <f t="shared" si="0"/>
        <v>5.3699837624680891E-2</v>
      </c>
      <c r="N13" s="21">
        <f t="shared" si="0"/>
        <v>8.1408578905450169E-2</v>
      </c>
      <c r="O13" s="21">
        <f t="shared" si="0"/>
        <v>0.77007334031812547</v>
      </c>
      <c r="P13" s="21">
        <f t="shared" si="0"/>
        <v>0.83190702588483867</v>
      </c>
      <c r="Q13" s="21">
        <f t="shared" si="0"/>
        <v>0.71258317608501343</v>
      </c>
      <c r="R13" s="21">
        <f t="shared" si="0"/>
        <v>0.71425785059488955</v>
      </c>
      <c r="S13" s="21">
        <f t="shared" si="0"/>
        <v>8.3264548080891565E-2</v>
      </c>
      <c r="T13" s="21">
        <f t="shared" si="0"/>
        <v>-1.2416527545909828E-2</v>
      </c>
      <c r="U13" s="21">
        <f t="shared" si="0"/>
        <v>3.6331823795800799E-2</v>
      </c>
      <c r="AB13" s="105"/>
      <c r="AC13" s="105"/>
      <c r="AD13" s="105"/>
    </row>
    <row r="14" spans="1:31"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t="s">
        <v>3</v>
      </c>
      <c r="P14" s="23" t="s">
        <v>3</v>
      </c>
      <c r="Q14" s="23" t="s">
        <v>3</v>
      </c>
      <c r="R14" s="23" t="s">
        <v>3</v>
      </c>
      <c r="S14" s="23" t="s">
        <v>3</v>
      </c>
      <c r="T14" s="23" t="s">
        <v>3</v>
      </c>
      <c r="U14" s="23" t="s">
        <v>3</v>
      </c>
      <c r="V14" s="22"/>
      <c r="W14" s="22"/>
      <c r="X14" s="22"/>
      <c r="Y14" s="22"/>
      <c r="AB14" s="134"/>
      <c r="AC14" s="105"/>
      <c r="AD14" s="105"/>
      <c r="AE14" s="21"/>
    </row>
    <row r="15" spans="1:31">
      <c r="AB15" s="105"/>
      <c r="AC15" s="105"/>
      <c r="AD15" s="105"/>
    </row>
    <row r="16" spans="1:31" s="17" customFormat="1">
      <c r="A16" s="25" t="s">
        <v>53</v>
      </c>
      <c r="B16" s="26">
        <v>211.9</v>
      </c>
      <c r="C16" s="26">
        <f>240.5+1.1+2.6</f>
        <v>244.2</v>
      </c>
      <c r="D16" s="26">
        <f>230.5+1.2+0.5</f>
        <v>232.2</v>
      </c>
      <c r="E16" s="26">
        <f>273.6+5.2</f>
        <v>278.8</v>
      </c>
      <c r="F16" s="26">
        <v>-63.4</v>
      </c>
      <c r="G16" s="26">
        <f>-316.8+510+1.5+1</f>
        <v>195.7</v>
      </c>
      <c r="H16" s="26">
        <f>-287.1+0.9+440+9.8+21.3-10.8</f>
        <v>174.09999999999997</v>
      </c>
      <c r="I16" s="26">
        <f>24+225+5.1</f>
        <v>254.1</v>
      </c>
      <c r="J16" s="26">
        <f>251.4+2.4</f>
        <v>253.8</v>
      </c>
      <c r="K16" s="26">
        <v>232.9</v>
      </c>
      <c r="L16" s="26">
        <f>-258.4+485.5</f>
        <v>227.10000000000002</v>
      </c>
      <c r="M16" s="26">
        <f>263.3</f>
        <v>263.3</v>
      </c>
      <c r="N16" s="26">
        <f>337.9+4.3-15.5-15.6</f>
        <v>311.09999999999997</v>
      </c>
      <c r="O16" s="26">
        <f>288.4+10.3</f>
        <v>298.7</v>
      </c>
      <c r="P16" s="26">
        <v>274.3</v>
      </c>
      <c r="Q16" s="26">
        <f>272.1</f>
        <v>272.10000000000002</v>
      </c>
      <c r="R16" s="26">
        <v>250.1</v>
      </c>
      <c r="S16" s="26">
        <v>167.6</v>
      </c>
      <c r="T16" s="26">
        <v>126</v>
      </c>
      <c r="U16" s="26">
        <v>152.6</v>
      </c>
      <c r="V16" s="26">
        <v>165.8</v>
      </c>
      <c r="W16" s="26">
        <v>149.80000000000001</v>
      </c>
      <c r="X16" s="26">
        <v>136.69999999999999</v>
      </c>
      <c r="Y16" s="26">
        <v>149.19999999999999</v>
      </c>
      <c r="AA16" s="14"/>
    </row>
    <row r="17" spans="1:31" s="21" customFormat="1">
      <c r="A17" s="21" t="s">
        <v>54</v>
      </c>
      <c r="B17" s="21">
        <f t="shared" ref="B17:F17" si="1">+B16/B12</f>
        <v>0.16512117197849296</v>
      </c>
      <c r="C17" s="21">
        <f t="shared" si="1"/>
        <v>0.17135639604238298</v>
      </c>
      <c r="D17" s="21">
        <f t="shared" si="1"/>
        <v>0.16148549968704354</v>
      </c>
      <c r="E17" s="21">
        <f t="shared" si="1"/>
        <v>0.19715720246092924</v>
      </c>
      <c r="F17" s="21">
        <f t="shared" si="1"/>
        <v>-0.123035125169804</v>
      </c>
      <c r="G17" s="21">
        <f t="shared" ref="G17:Y17" si="2">+G16/G12</f>
        <v>0.14566430963900259</v>
      </c>
      <c r="H17" s="21">
        <f t="shared" si="2"/>
        <v>0.12174825174825174</v>
      </c>
      <c r="I17" s="21">
        <f t="shared" si="2"/>
        <v>0.15148444020507928</v>
      </c>
      <c r="J17" s="21">
        <f t="shared" si="2"/>
        <v>0.14891744411195212</v>
      </c>
      <c r="K17" s="21">
        <f t="shared" si="2"/>
        <v>0.13546998604001861</v>
      </c>
      <c r="L17" s="21">
        <f t="shared" si="2"/>
        <v>0.13405347972374718</v>
      </c>
      <c r="M17" s="21">
        <f t="shared" si="2"/>
        <v>0.14490919097413318</v>
      </c>
      <c r="N17" s="21">
        <f t="shared" si="2"/>
        <v>0.16365931926981953</v>
      </c>
      <c r="O17" s="21">
        <f t="shared" si="2"/>
        <v>0.16072965992251398</v>
      </c>
      <c r="P17" s="21">
        <f t="shared" si="2"/>
        <v>0.15819828133110328</v>
      </c>
      <c r="Q17" s="21">
        <f t="shared" si="2"/>
        <v>0.15779401530967294</v>
      </c>
      <c r="R17" s="21">
        <f t="shared" si="2"/>
        <v>0.14228012288087383</v>
      </c>
      <c r="S17" s="21">
        <f t="shared" si="2"/>
        <v>0.15963425088103628</v>
      </c>
      <c r="T17" s="21">
        <f t="shared" si="2"/>
        <v>0.13312202852614896</v>
      </c>
      <c r="U17" s="21">
        <f t="shared" si="2"/>
        <v>0.15155427549905651</v>
      </c>
      <c r="V17" s="21">
        <f t="shared" si="2"/>
        <v>0.16169299785449581</v>
      </c>
      <c r="W17" s="21">
        <f t="shared" si="2"/>
        <v>0.1545604622368964</v>
      </c>
      <c r="X17" s="21">
        <f t="shared" si="2"/>
        <v>0.14263355592654423</v>
      </c>
      <c r="Y17" s="21">
        <f t="shared" si="2"/>
        <v>0.15356113627006998</v>
      </c>
    </row>
    <row r="18" spans="1:31" s="24" customFormat="1">
      <c r="AA18" s="135"/>
      <c r="AB18" s="105"/>
      <c r="AC18" s="105"/>
      <c r="AD18" s="105"/>
      <c r="AE18" s="17"/>
    </row>
    <row r="19" spans="1:31"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c r="Y19" s="20">
        <v>0</v>
      </c>
      <c r="AA19" s="134"/>
      <c r="AB19" s="105"/>
      <c r="AC19" s="105"/>
      <c r="AD19" s="105"/>
      <c r="AE19" s="21"/>
    </row>
    <row r="20" spans="1:31" s="24" customFormat="1">
      <c r="A20" s="19" t="s">
        <v>56</v>
      </c>
      <c r="B20" s="20">
        <v>15.9</v>
      </c>
      <c r="C20" s="20">
        <v>17.5</v>
      </c>
      <c r="D20" s="20">
        <v>28.6</v>
      </c>
      <c r="E20" s="20">
        <v>9.6999999999999993</v>
      </c>
      <c r="F20" s="20">
        <v>11.3</v>
      </c>
      <c r="G20" s="20">
        <v>17.600000000000001</v>
      </c>
      <c r="H20" s="20">
        <v>21.8</v>
      </c>
      <c r="I20" s="20">
        <v>11.7</v>
      </c>
      <c r="J20" s="20">
        <v>12.2</v>
      </c>
      <c r="K20" s="20">
        <v>12.1</v>
      </c>
      <c r="L20" s="20">
        <v>12.1</v>
      </c>
      <c r="M20" s="20">
        <v>11.7</v>
      </c>
      <c r="N20" s="20">
        <v>36.799999999999997</v>
      </c>
      <c r="O20" s="20">
        <v>18.3</v>
      </c>
      <c r="P20" s="20">
        <v>20.2</v>
      </c>
      <c r="Q20" s="20">
        <v>22.8</v>
      </c>
      <c r="R20" s="20">
        <v>51.7</v>
      </c>
      <c r="S20" s="20">
        <v>16</v>
      </c>
      <c r="T20" s="20">
        <v>22.2</v>
      </c>
      <c r="U20" s="20">
        <v>0</v>
      </c>
      <c r="V20" s="20">
        <v>0</v>
      </c>
      <c r="W20" s="20">
        <v>0</v>
      </c>
      <c r="X20" s="20">
        <v>0</v>
      </c>
      <c r="Y20" s="20">
        <v>0</v>
      </c>
      <c r="AA20" s="134"/>
      <c r="AB20" s="105"/>
      <c r="AC20" s="105"/>
      <c r="AD20" s="105"/>
      <c r="AE20" s="21"/>
    </row>
    <row r="21" spans="1:31" s="24" customFormat="1">
      <c r="A21" s="19" t="s">
        <v>57</v>
      </c>
      <c r="B21" s="20">
        <f>1.3+0.1-6.6</f>
        <v>-5.1999999999999993</v>
      </c>
      <c r="C21" s="20">
        <v>1.2</v>
      </c>
      <c r="D21" s="20">
        <v>0.7</v>
      </c>
      <c r="E21" s="20">
        <v>8.6</v>
      </c>
      <c r="F21" s="20">
        <v>0</v>
      </c>
      <c r="G21" s="20">
        <v>0</v>
      </c>
      <c r="H21" s="20">
        <v>-2.4</v>
      </c>
      <c r="I21" s="20">
        <v>0</v>
      </c>
      <c r="J21" s="20">
        <v>0</v>
      </c>
      <c r="K21" s="20">
        <v>0</v>
      </c>
      <c r="L21" s="20">
        <v>4.8</v>
      </c>
      <c r="M21" s="20">
        <v>0</v>
      </c>
      <c r="N21" s="20">
        <v>0</v>
      </c>
      <c r="O21" s="20">
        <f t="shared" ref="O21:Y21" si="3">O22-O16-O19-O20</f>
        <v>0</v>
      </c>
      <c r="P21" s="20">
        <f t="shared" si="3"/>
        <v>1.199999999999978</v>
      </c>
      <c r="Q21" s="20">
        <v>2.9</v>
      </c>
      <c r="R21" s="20">
        <f t="shared" si="3"/>
        <v>23.899999999999991</v>
      </c>
      <c r="S21" s="20">
        <f t="shared" si="3"/>
        <v>0</v>
      </c>
      <c r="T21" s="20">
        <f t="shared" si="3"/>
        <v>0</v>
      </c>
      <c r="U21" s="20">
        <f t="shared" si="3"/>
        <v>4.0999999999999943</v>
      </c>
      <c r="V21" s="20">
        <f t="shared" si="3"/>
        <v>-1</v>
      </c>
      <c r="W21" s="20">
        <f t="shared" si="3"/>
        <v>0</v>
      </c>
      <c r="X21" s="20">
        <f t="shared" si="3"/>
        <v>0.80000000000001137</v>
      </c>
      <c r="Y21" s="20">
        <f t="shared" si="3"/>
        <v>0</v>
      </c>
      <c r="AA21" s="134"/>
      <c r="AB21" s="105"/>
      <c r="AC21" s="105"/>
      <c r="AD21" s="105"/>
    </row>
    <row r="22" spans="1:31" s="17" customFormat="1">
      <c r="A22" s="17" t="s">
        <v>58</v>
      </c>
      <c r="B22" s="27">
        <f t="shared" ref="B22:D22" si="4">B16+B19+B20+B21</f>
        <v>222.60000000000002</v>
      </c>
      <c r="C22" s="27">
        <f t="shared" si="4"/>
        <v>262.89999999999998</v>
      </c>
      <c r="D22" s="27">
        <f t="shared" si="4"/>
        <v>261.5</v>
      </c>
      <c r="E22" s="27">
        <f t="shared" ref="E22" si="5">E16+E19+E20+E21</f>
        <v>297.10000000000002</v>
      </c>
      <c r="F22" s="27">
        <f t="shared" ref="F22" si="6">F16+F19+F20+F21</f>
        <v>-52.099999999999994</v>
      </c>
      <c r="G22" s="27">
        <f t="shared" ref="G22" si="7">G16+G19+G20+G21</f>
        <v>213.29999999999998</v>
      </c>
      <c r="H22" s="27">
        <f t="shared" ref="H22:N22" si="8">H16+H19+H20+H21</f>
        <v>193.49999999999997</v>
      </c>
      <c r="I22" s="27">
        <f t="shared" si="8"/>
        <v>265.8</v>
      </c>
      <c r="J22" s="27">
        <f t="shared" si="8"/>
        <v>266</v>
      </c>
      <c r="K22" s="27">
        <f t="shared" si="8"/>
        <v>245</v>
      </c>
      <c r="L22" s="27">
        <f t="shared" si="8"/>
        <v>244.00000000000003</v>
      </c>
      <c r="M22" s="27">
        <f t="shared" si="8"/>
        <v>275</v>
      </c>
      <c r="N22" s="27">
        <f t="shared" si="8"/>
        <v>347.9</v>
      </c>
      <c r="O22" s="27">
        <v>317</v>
      </c>
      <c r="P22" s="27">
        <v>295.7</v>
      </c>
      <c r="Q22" s="27">
        <f>Q16+Q19+Q20+Q21</f>
        <v>297.8</v>
      </c>
      <c r="R22" s="27">
        <v>325.7</v>
      </c>
      <c r="S22" s="27">
        <v>183.6</v>
      </c>
      <c r="T22" s="27">
        <v>148.19999999999999</v>
      </c>
      <c r="U22" s="27">
        <v>156.69999999999999</v>
      </c>
      <c r="V22" s="27">
        <v>164.8</v>
      </c>
      <c r="W22" s="27">
        <v>149.80000000000001</v>
      </c>
      <c r="X22" s="27">
        <v>137.5</v>
      </c>
      <c r="Y22" s="27">
        <v>149.19999999999999</v>
      </c>
    </row>
    <row r="23" spans="1:31" s="17" customFormat="1">
      <c r="B23" s="21"/>
      <c r="C23" s="21"/>
      <c r="D23" s="21"/>
      <c r="E23" s="21"/>
      <c r="F23" s="21"/>
      <c r="G23" s="21"/>
      <c r="H23" s="21"/>
      <c r="I23" s="21"/>
      <c r="J23" s="21"/>
      <c r="K23" s="21"/>
      <c r="L23" s="21"/>
      <c r="M23" s="86"/>
      <c r="N23" s="27"/>
      <c r="O23" s="27"/>
      <c r="P23" s="27"/>
      <c r="Q23" s="27"/>
      <c r="R23" s="27"/>
      <c r="S23" s="27"/>
      <c r="T23" s="27"/>
      <c r="U23" s="27"/>
      <c r="V23" s="27"/>
      <c r="W23" s="27"/>
      <c r="X23" s="27"/>
      <c r="Y23" s="27"/>
    </row>
    <row r="24" spans="1:31" s="17" customFormat="1">
      <c r="A24" s="17" t="s">
        <v>59</v>
      </c>
      <c r="B24" s="27">
        <f t="shared" ref="B24:V24" si="9">SUM(B22:E22)</f>
        <v>1044.0999999999999</v>
      </c>
      <c r="C24" s="27">
        <f t="shared" si="9"/>
        <v>769.4</v>
      </c>
      <c r="D24" s="27">
        <f t="shared" si="9"/>
        <v>719.8</v>
      </c>
      <c r="E24" s="27">
        <f t="shared" si="9"/>
        <v>651.79999999999995</v>
      </c>
      <c r="F24" s="27">
        <f t="shared" si="9"/>
        <v>620.5</v>
      </c>
      <c r="G24" s="27">
        <f t="shared" si="9"/>
        <v>938.59999999999991</v>
      </c>
      <c r="H24" s="27">
        <f t="shared" si="9"/>
        <v>970.3</v>
      </c>
      <c r="I24" s="27">
        <f t="shared" si="9"/>
        <v>1020.8</v>
      </c>
      <c r="J24" s="27">
        <f t="shared" si="9"/>
        <v>1030</v>
      </c>
      <c r="K24" s="27">
        <f t="shared" si="9"/>
        <v>1111.9000000000001</v>
      </c>
      <c r="L24" s="27">
        <f t="shared" si="9"/>
        <v>1183.9000000000001</v>
      </c>
      <c r="M24" s="27">
        <f t="shared" si="9"/>
        <v>1235.5999999999999</v>
      </c>
      <c r="N24" s="27">
        <f t="shared" si="9"/>
        <v>1258.3999999999999</v>
      </c>
      <c r="O24" s="27">
        <f t="shared" si="9"/>
        <v>1236.2</v>
      </c>
      <c r="P24" s="27">
        <f t="shared" si="9"/>
        <v>1102.8</v>
      </c>
      <c r="Q24" s="27">
        <f t="shared" si="9"/>
        <v>955.3</v>
      </c>
      <c r="R24" s="27">
        <f t="shared" si="9"/>
        <v>814.2</v>
      </c>
      <c r="S24" s="27">
        <f t="shared" si="9"/>
        <v>653.29999999999995</v>
      </c>
      <c r="T24" s="27">
        <f t="shared" si="9"/>
        <v>619.5</v>
      </c>
      <c r="U24" s="27">
        <f t="shared" si="9"/>
        <v>608.79999999999995</v>
      </c>
      <c r="V24" s="27">
        <f t="shared" si="9"/>
        <v>601.29999999999995</v>
      </c>
      <c r="W24" s="27"/>
      <c r="X24" s="27"/>
      <c r="Y24" s="27"/>
      <c r="AA24" s="135"/>
      <c r="AB24" s="105"/>
      <c r="AC24" s="105"/>
      <c r="AD24" s="105"/>
      <c r="AE24" s="24"/>
    </row>
    <row r="25" spans="1:31" s="24" customFormat="1">
      <c r="A25" s="19" t="s">
        <v>60</v>
      </c>
      <c r="B25" s="28">
        <v>0</v>
      </c>
      <c r="C25" s="28">
        <v>0</v>
      </c>
      <c r="D25" s="28">
        <v>0</v>
      </c>
      <c r="E25" s="28">
        <v>0</v>
      </c>
      <c r="F25" s="28">
        <v>0</v>
      </c>
      <c r="G25" s="28">
        <v>0</v>
      </c>
      <c r="H25" s="28">
        <v>0</v>
      </c>
      <c r="I25" s="28">
        <v>0</v>
      </c>
      <c r="J25" s="28">
        <v>0</v>
      </c>
      <c r="K25" s="28">
        <v>0</v>
      </c>
      <c r="L25" s="28">
        <v>0</v>
      </c>
      <c r="M25" s="28">
        <v>0</v>
      </c>
      <c r="N25" s="28">
        <v>0</v>
      </c>
      <c r="O25" s="28">
        <v>0</v>
      </c>
      <c r="P25" s="28">
        <v>0</v>
      </c>
      <c r="Q25" s="28">
        <v>0</v>
      </c>
      <c r="R25" s="28">
        <v>0</v>
      </c>
      <c r="S25" s="28">
        <v>0</v>
      </c>
      <c r="T25" s="28">
        <v>0</v>
      </c>
      <c r="U25" s="28">
        <v>0</v>
      </c>
      <c r="V25" s="28">
        <v>0</v>
      </c>
      <c r="W25" s="28"/>
      <c r="X25" s="28"/>
      <c r="Y25" s="28"/>
      <c r="AA25" s="134"/>
      <c r="AB25" s="105"/>
      <c r="AC25" s="105"/>
      <c r="AD25" s="105"/>
      <c r="AE25" s="21"/>
    </row>
    <row r="26" spans="1:31" s="24" customFormat="1">
      <c r="A26" s="19" t="s">
        <v>61</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v>0</v>
      </c>
      <c r="S26" s="29">
        <v>0</v>
      </c>
      <c r="T26" s="29">
        <v>0</v>
      </c>
      <c r="U26" s="29">
        <v>0</v>
      </c>
      <c r="V26" s="29">
        <v>0</v>
      </c>
      <c r="W26" s="30"/>
      <c r="X26" s="30"/>
      <c r="Y26" s="30"/>
      <c r="AA26" s="134"/>
      <c r="AB26" s="105"/>
      <c r="AC26" s="105"/>
      <c r="AD26" s="105"/>
      <c r="AE26" s="21"/>
    </row>
    <row r="27" spans="1:31" s="32" customFormat="1">
      <c r="A27" s="17" t="s">
        <v>62</v>
      </c>
      <c r="B27" s="27">
        <f t="shared" ref="B27" si="10">SUM(B24:B26)</f>
        <v>1044.0999999999999</v>
      </c>
      <c r="C27" s="27">
        <f t="shared" ref="C27:D27" si="11">SUM(C24:C26)</f>
        <v>769.4</v>
      </c>
      <c r="D27" s="27">
        <f t="shared" si="11"/>
        <v>719.8</v>
      </c>
      <c r="E27" s="27">
        <f t="shared" ref="E27" si="12">SUM(E24:E26)</f>
        <v>651.79999999999995</v>
      </c>
      <c r="F27" s="27">
        <f t="shared" ref="F27" si="13">SUM(F24:F26)</f>
        <v>620.5</v>
      </c>
      <c r="G27" s="27">
        <f t="shared" ref="G27" si="14">SUM(G24:G26)</f>
        <v>938.59999999999991</v>
      </c>
      <c r="H27" s="27">
        <f t="shared" ref="H27:J27" si="15">SUM(H24:H26)</f>
        <v>970.3</v>
      </c>
      <c r="I27" s="27">
        <f t="shared" si="15"/>
        <v>1020.8</v>
      </c>
      <c r="J27" s="27">
        <f t="shared" si="15"/>
        <v>1030</v>
      </c>
      <c r="K27" s="27">
        <f t="shared" ref="K27:L27" si="16">SUM(K24:K26)</f>
        <v>1111.9000000000001</v>
      </c>
      <c r="L27" s="27">
        <f t="shared" si="16"/>
        <v>1183.9000000000001</v>
      </c>
      <c r="M27" s="27">
        <f t="shared" ref="M27:V27" si="17">SUM(M24:M26)</f>
        <v>1235.5999999999999</v>
      </c>
      <c r="N27" s="27">
        <f t="shared" si="17"/>
        <v>1258.3999999999999</v>
      </c>
      <c r="O27" s="27">
        <f t="shared" si="17"/>
        <v>1236.2</v>
      </c>
      <c r="P27" s="27">
        <f t="shared" si="17"/>
        <v>1102.8</v>
      </c>
      <c r="Q27" s="27">
        <f t="shared" si="17"/>
        <v>955.3</v>
      </c>
      <c r="R27" s="27">
        <f t="shared" si="17"/>
        <v>814.2</v>
      </c>
      <c r="S27" s="27">
        <f t="shared" si="17"/>
        <v>653.29999999999995</v>
      </c>
      <c r="T27" s="27">
        <f t="shared" si="17"/>
        <v>619.5</v>
      </c>
      <c r="U27" s="27">
        <f t="shared" si="17"/>
        <v>608.79999999999995</v>
      </c>
      <c r="V27" s="27">
        <f t="shared" si="17"/>
        <v>601.29999999999995</v>
      </c>
      <c r="W27" s="31"/>
      <c r="X27" s="31"/>
      <c r="Y27" s="31"/>
      <c r="AA27" s="134"/>
      <c r="AB27" s="105"/>
      <c r="AC27" s="105"/>
      <c r="AD27" s="105"/>
      <c r="AE27" s="17"/>
    </row>
    <row r="28" spans="1:31" s="24" customFormat="1"/>
    <row r="29" spans="1:31" s="17" customFormat="1">
      <c r="A29" s="17" t="s">
        <v>58</v>
      </c>
      <c r="B29" s="27">
        <f t="shared" ref="B29" si="18">B22</f>
        <v>222.60000000000002</v>
      </c>
      <c r="C29" s="27">
        <f t="shared" ref="C29:D29" si="19">C22</f>
        <v>262.89999999999998</v>
      </c>
      <c r="D29" s="27">
        <f t="shared" si="19"/>
        <v>261.5</v>
      </c>
      <c r="E29" s="27">
        <f t="shared" ref="E29" si="20">E22</f>
        <v>297.10000000000002</v>
      </c>
      <c r="F29" s="27">
        <f t="shared" ref="F29" si="21">F22</f>
        <v>-52.099999999999994</v>
      </c>
      <c r="G29" s="27">
        <f t="shared" ref="G29" si="22">G22</f>
        <v>213.29999999999998</v>
      </c>
      <c r="H29" s="27">
        <f t="shared" ref="H29:J29" si="23">H22</f>
        <v>193.49999999999997</v>
      </c>
      <c r="I29" s="27">
        <f t="shared" si="23"/>
        <v>265.8</v>
      </c>
      <c r="J29" s="27">
        <f t="shared" si="23"/>
        <v>266</v>
      </c>
      <c r="K29" s="27">
        <f t="shared" ref="K29:P29" si="24">K22</f>
        <v>245</v>
      </c>
      <c r="L29" s="27">
        <f t="shared" si="24"/>
        <v>244.00000000000003</v>
      </c>
      <c r="M29" s="27">
        <f t="shared" si="24"/>
        <v>275</v>
      </c>
      <c r="N29" s="27">
        <f t="shared" si="24"/>
        <v>347.9</v>
      </c>
      <c r="O29" s="27">
        <f t="shared" si="24"/>
        <v>317</v>
      </c>
      <c r="P29" s="27">
        <f t="shared" si="24"/>
        <v>295.7</v>
      </c>
      <c r="Q29" s="27">
        <f t="shared" ref="Q29:Y29" si="25">Q22</f>
        <v>297.8</v>
      </c>
      <c r="R29" s="27">
        <f t="shared" si="25"/>
        <v>325.7</v>
      </c>
      <c r="S29" s="27">
        <f t="shared" si="25"/>
        <v>183.6</v>
      </c>
      <c r="T29" s="27">
        <f t="shared" si="25"/>
        <v>148.19999999999999</v>
      </c>
      <c r="U29" s="27">
        <f t="shared" si="25"/>
        <v>156.69999999999999</v>
      </c>
      <c r="V29" s="27">
        <f t="shared" si="25"/>
        <v>164.8</v>
      </c>
      <c r="W29" s="27">
        <f t="shared" si="25"/>
        <v>149.80000000000001</v>
      </c>
      <c r="X29" s="27">
        <f t="shared" si="25"/>
        <v>137.5</v>
      </c>
      <c r="Y29" s="27">
        <f t="shared" si="25"/>
        <v>149.19999999999999</v>
      </c>
    </row>
    <row r="30" spans="1:31" s="33" customFormat="1">
      <c r="A30" s="20" t="s">
        <v>63</v>
      </c>
      <c r="B30" s="20">
        <f>-95.1-C30</f>
        <v>-51.8</v>
      </c>
      <c r="C30" s="20">
        <v>-43.3</v>
      </c>
      <c r="D30" s="20">
        <f>-192.4-E30-F30-G30</f>
        <v>-54.4</v>
      </c>
      <c r="E30" s="20">
        <f>-138-F30-G30</f>
        <v>-35.999999999999993</v>
      </c>
      <c r="F30" s="20">
        <f>-102-G30</f>
        <v>-67.900000000000006</v>
      </c>
      <c r="G30" s="20">
        <v>-34.1</v>
      </c>
      <c r="H30" s="20">
        <f>-205.4-I30-J30-K30</f>
        <v>-69.099999999999994</v>
      </c>
      <c r="I30" s="20">
        <f>-136.3-J30-K30</f>
        <v>-34.200000000000024</v>
      </c>
      <c r="J30" s="20">
        <f>-102.1-K30</f>
        <v>-69.699999999999989</v>
      </c>
      <c r="K30" s="20">
        <v>-32.4</v>
      </c>
      <c r="L30" s="20">
        <f>-199.7-M30-N30-O30</f>
        <v>-71.899999999999977</v>
      </c>
      <c r="M30" s="20">
        <f>-127.8-N30-O30</f>
        <v>-23.399999999999995</v>
      </c>
      <c r="N30" s="20">
        <f>-104.4-O30</f>
        <v>-77.2</v>
      </c>
      <c r="O30" s="20">
        <v>-27.2</v>
      </c>
      <c r="P30" s="20">
        <f>-182.7-S30-R30-Q30</f>
        <v>-73.799999999999983</v>
      </c>
      <c r="Q30" s="20">
        <f>-108.9-S30-R30</f>
        <v>-29.1</v>
      </c>
      <c r="R30" s="20">
        <f>-79.8-S30</f>
        <v>-61.9</v>
      </c>
      <c r="S30" s="20">
        <v>-17.899999999999999</v>
      </c>
      <c r="T30" s="20">
        <f>-87.2-W30-V30-U30</f>
        <v>-25.900000000000009</v>
      </c>
      <c r="U30" s="20">
        <f>-61.3-W30-V30</f>
        <v>-17.400000000000002</v>
      </c>
      <c r="V30" s="20">
        <f>-43.9-W30</f>
        <v>-26.099999999999998</v>
      </c>
      <c r="W30" s="20">
        <v>-17.8</v>
      </c>
      <c r="X30" s="20">
        <f>-93.8+66.1</f>
        <v>-27.700000000000003</v>
      </c>
      <c r="Y30" s="20">
        <f>-66.1+47.2</f>
        <v>-18.899999999999991</v>
      </c>
      <c r="AA30" s="135"/>
      <c r="AB30" s="105"/>
      <c r="AC30" s="105"/>
      <c r="AD30" s="105"/>
      <c r="AE30" s="17"/>
    </row>
    <row r="31" spans="1:31" s="33" customFormat="1">
      <c r="A31" s="20" t="s">
        <v>64</v>
      </c>
      <c r="B31" s="20">
        <f>-8-C31</f>
        <v>-7.8</v>
      </c>
      <c r="C31" s="20">
        <v>-0.2</v>
      </c>
      <c r="D31" s="20">
        <f>-2.1-E31-F31-G31</f>
        <v>-7.3</v>
      </c>
      <c r="E31" s="20">
        <f>5.2-F31-G31</f>
        <v>22.8</v>
      </c>
      <c r="F31" s="20">
        <f>-17.6-G31</f>
        <v>-13.400000000000002</v>
      </c>
      <c r="G31" s="20">
        <v>-4.2</v>
      </c>
      <c r="H31" s="20">
        <f>-57.1-I31-J31-K31</f>
        <v>-11.399999999999999</v>
      </c>
      <c r="I31" s="20">
        <f>-45.7-J31-K31</f>
        <v>-11.100000000000001</v>
      </c>
      <c r="J31" s="20">
        <f>-34.6-K31</f>
        <v>-17.600000000000001</v>
      </c>
      <c r="K31" s="20">
        <v>-17</v>
      </c>
      <c r="L31" s="20">
        <f>-46-M31-N31-O31</f>
        <v>-12.399999999999999</v>
      </c>
      <c r="M31" s="20">
        <f>-33.6-N31-O31</f>
        <v>-14</v>
      </c>
      <c r="N31" s="20">
        <f>-19.6-O31</f>
        <v>-8.4000000000000021</v>
      </c>
      <c r="O31" s="20">
        <v>-11.2</v>
      </c>
      <c r="P31" s="20">
        <f>-31.9-S31-R31-Q31</f>
        <v>-1.6999999999999993</v>
      </c>
      <c r="Q31" s="20">
        <f>-30.2-S31-R31</f>
        <v>-13.5</v>
      </c>
      <c r="R31" s="20">
        <f>-16.7-S31</f>
        <v>-12</v>
      </c>
      <c r="S31" s="20">
        <v>-4.7</v>
      </c>
      <c r="T31" s="20">
        <f>-48.6-W31-V31-U31</f>
        <v>-6.1000000000000014</v>
      </c>
      <c r="U31" s="20">
        <f>-42.5-W31-V31</f>
        <v>-4.3999999999999986</v>
      </c>
      <c r="V31" s="20">
        <f>-38.1-W31</f>
        <v>-6.5</v>
      </c>
      <c r="W31" s="20">
        <v>-31.6</v>
      </c>
      <c r="X31" s="20">
        <f>-11.3+9.6</f>
        <v>-1.7000000000000011</v>
      </c>
      <c r="Y31" s="20">
        <f>-9.6+7.9</f>
        <v>-1.6999999999999993</v>
      </c>
      <c r="AA31" s="134"/>
      <c r="AB31" s="105"/>
      <c r="AC31" s="105"/>
      <c r="AD31" s="105"/>
      <c r="AE31" s="21"/>
    </row>
    <row r="32" spans="1:31" s="33" customFormat="1">
      <c r="A32" s="20" t="s">
        <v>65</v>
      </c>
      <c r="B32" s="20">
        <f>-8.1-67.5+82.8+2.3-7.9-C32</f>
        <v>8.3999999999999968</v>
      </c>
      <c r="C32" s="20">
        <f>-66.4-19.6+75.4+4.9-1.1</f>
        <v>-6.7999999999999936</v>
      </c>
      <c r="D32" s="20">
        <f>28.9+53.7-37.1+5.5-66.2-E32-F32-G32</f>
        <v>37.499999999999993</v>
      </c>
      <c r="E32" s="20">
        <f>-88+56.9+5.6-6.6-20.6-F32-G32</f>
        <v>24.69999999999996</v>
      </c>
      <c r="F32" s="20">
        <f>256.6+10.3-298-1.5-44.8-G32</f>
        <v>-31.999999999999964</v>
      </c>
      <c r="G32" s="20">
        <f>11.3-27.1+12.7-1.9-40.4</f>
        <v>-45.4</v>
      </c>
      <c r="H32" s="20">
        <f>63.9+56.1-97.7-17.9-107.5-I32-J32-K32</f>
        <v>53.400000000000034</v>
      </c>
      <c r="I32" s="20">
        <f>-108.4+18.8+8.6-12.9-62.6-J32-K32</f>
        <v>51.69999999999996</v>
      </c>
      <c r="J32" s="20">
        <f>-170.5+24.5+0.1-62.3-K32</f>
        <v>39.400000000000034</v>
      </c>
      <c r="K32" s="20">
        <f>-235+6.9+40.8-5.3-55</f>
        <v>-247.60000000000002</v>
      </c>
      <c r="L32" s="20">
        <f>56.1-83.1+7.5+10.7-175.5-M32-N32-O32</f>
        <v>74.500000000000028</v>
      </c>
      <c r="M32" s="20">
        <f>-248-67.2+188.7+13.3-145.6-N32-O32</f>
        <v>4.3999999999999773</v>
      </c>
      <c r="N32" s="20">
        <f>-225.7-47.4+83.7+8.1-81.9-O32</f>
        <v>-80.400000000000034</v>
      </c>
      <c r="O32" s="20">
        <f>-191-8.7+60.8-2.1-41.8</f>
        <v>-182.79999999999995</v>
      </c>
      <c r="P32" s="20">
        <f>-44.9+2.5-12.6+14.8+31.4-S32-R32-Q32</f>
        <v>102.30000000000001</v>
      </c>
      <c r="Q32" s="20">
        <f>-131-3.3+65.3+10.1-52.2-S32-R32</f>
        <v>9.0999999999999943</v>
      </c>
      <c r="R32" s="20">
        <f>-139.8+6.2+45+8.4-40-S32</f>
        <v>-49.90000000000002</v>
      </c>
      <c r="S32" s="20">
        <f>-137.6+3+91.8+1.8-29.3</f>
        <v>-70.3</v>
      </c>
      <c r="T32" s="20">
        <f>-19.3+12.2-14.2+7.2-70.1-W32-V32-U32</f>
        <v>17</v>
      </c>
      <c r="U32" s="20">
        <f>-140+13.7+98.1-8.9-64.1-W32-V32</f>
        <v>-23.399999999999991</v>
      </c>
      <c r="V32" s="20">
        <f>-100.6+6.3+74.8-7.5-50.8-W32</f>
        <v>17.500000000000014</v>
      </c>
      <c r="W32" s="20">
        <f>-102.8+2.5+48.4-4.2-39.2</f>
        <v>-95.300000000000011</v>
      </c>
      <c r="X32" s="20">
        <f>-17.9+11.2-2.1-26.8-42.5-(-119.5+9.2+68.5-19.4-23.3)</f>
        <v>6.4000000000000057</v>
      </c>
      <c r="Y32" s="20">
        <f>-119.5+9.2+68.5-19.4-23.3-(-110.7+8.3+59.9-20.4-14)</f>
        <v>-7.5999999999999943</v>
      </c>
      <c r="AA32" s="134"/>
      <c r="AB32" s="105"/>
      <c r="AC32" s="105"/>
      <c r="AD32" s="105"/>
      <c r="AE32" s="21"/>
    </row>
    <row r="33" spans="1:28"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c r="W33" s="20">
        <v>0</v>
      </c>
      <c r="X33" s="20">
        <v>0</v>
      </c>
      <c r="Y33" s="20">
        <v>0</v>
      </c>
    </row>
    <row r="34" spans="1:28"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c r="X34" s="29">
        <v>0</v>
      </c>
      <c r="Y34" s="29">
        <v>0</v>
      </c>
    </row>
    <row r="35" spans="1:28" s="27" customFormat="1">
      <c r="A35" s="27" t="s">
        <v>67</v>
      </c>
      <c r="B35" s="27">
        <f>346.2-C35</f>
        <v>167.1</v>
      </c>
      <c r="C35" s="27">
        <v>179.1</v>
      </c>
      <c r="D35" s="27">
        <f>454.7-E35-F35-G35</f>
        <v>208.30000000000004</v>
      </c>
      <c r="E35" s="27">
        <f>246.4-F35-G35</f>
        <v>249.49999999999997</v>
      </c>
      <c r="F35" s="27">
        <f>-3.1-G35</f>
        <v>-142.5</v>
      </c>
      <c r="G35" s="27">
        <v>139.4</v>
      </c>
      <c r="H35" s="27">
        <f>559.6-I35-J35-K35</f>
        <v>181</v>
      </c>
      <c r="I35" s="27">
        <f>378.6-J35-K35</f>
        <v>241.7</v>
      </c>
      <c r="J35" s="27">
        <f>136.9-K35</f>
        <v>217.10000000000002</v>
      </c>
      <c r="K35" s="27">
        <v>-80.2</v>
      </c>
      <c r="L35" s="27">
        <f>771.5-M35-O35-N35</f>
        <v>258.29999999999995</v>
      </c>
      <c r="M35" s="27">
        <f>513.2-N35-O35</f>
        <v>223.80000000000004</v>
      </c>
      <c r="N35" s="27">
        <f>289.4-O35</f>
        <v>222.49999999999997</v>
      </c>
      <c r="O35" s="27">
        <v>66.900000000000006</v>
      </c>
      <c r="P35" s="27">
        <f>647-S35-R35-Q35</f>
        <v>226.30000000000007</v>
      </c>
      <c r="Q35" s="27">
        <f>420.7-S35-R35</f>
        <v>207.5</v>
      </c>
      <c r="R35" s="27">
        <f>213.2-S35</f>
        <v>150.89999999999998</v>
      </c>
      <c r="S35" s="27">
        <v>62.3</v>
      </c>
      <c r="T35" s="27">
        <f>407.6-W35-V35-U35</f>
        <v>116.60000000000002</v>
      </c>
      <c r="U35" s="27">
        <f>291-W35-V35</f>
        <v>107.5</v>
      </c>
      <c r="V35" s="27">
        <f>183.5-W35</f>
        <v>157.30000000000001</v>
      </c>
      <c r="W35" s="27">
        <v>26.2</v>
      </c>
      <c r="X35" s="27">
        <f>377.6-268.1</f>
        <v>109.5</v>
      </c>
      <c r="Y35" s="27">
        <f>268.1-154.3</f>
        <v>113.80000000000001</v>
      </c>
      <c r="Z35" s="33"/>
    </row>
    <row r="36" spans="1:28" s="33" customFormat="1">
      <c r="A36" s="20" t="s">
        <v>68</v>
      </c>
      <c r="B36" s="29">
        <f>-82.4-C36</f>
        <v>-42.800000000000004</v>
      </c>
      <c r="C36" s="29">
        <v>-39.6</v>
      </c>
      <c r="D36" s="29">
        <f>-215.6-E36-F36-G36</f>
        <v>-69.3</v>
      </c>
      <c r="E36" s="29">
        <f>-146.3-F36-G36</f>
        <v>-40.700000000000017</v>
      </c>
      <c r="F36" s="29">
        <f>-105.6-G36</f>
        <v>-35.899999999999991</v>
      </c>
      <c r="G36" s="29">
        <v>-69.7</v>
      </c>
      <c r="H36" s="29">
        <f>-433.3-I36-J36-K36</f>
        <v>-97.999999999999986</v>
      </c>
      <c r="I36" s="29">
        <f>-335.3-J36-K36</f>
        <v>-97.8</v>
      </c>
      <c r="J36" s="29">
        <f>-237.5-K36</f>
        <v>-113.3</v>
      </c>
      <c r="K36" s="29">
        <v>-124.2</v>
      </c>
      <c r="L36" s="29">
        <f>-524.7-M36-N36-O36</f>
        <v>-132.90000000000003</v>
      </c>
      <c r="M36" s="29">
        <f>-391.8-N36-O36</f>
        <v>-118.80000000000001</v>
      </c>
      <c r="N36" s="29">
        <f>-273-O36</f>
        <v>-142.19999999999999</v>
      </c>
      <c r="O36" s="29">
        <v>-130.80000000000001</v>
      </c>
      <c r="P36" s="29">
        <f>-477.7-S36-R36-Q36</f>
        <v>-199.00000000000003</v>
      </c>
      <c r="Q36" s="29">
        <f>-278.7-S36-R36</f>
        <v>-140.1</v>
      </c>
      <c r="R36" s="29">
        <f>-138.6-S36</f>
        <v>-103.69999999999999</v>
      </c>
      <c r="S36" s="29">
        <v>-34.9</v>
      </c>
      <c r="T36" s="29">
        <f>-223-W36-V36-U36</f>
        <v>-64.300000000000011</v>
      </c>
      <c r="U36" s="29">
        <f>-158.7-W36-V36</f>
        <v>-52.999999999999993</v>
      </c>
      <c r="V36" s="29">
        <f>-105.7-W36</f>
        <v>-55.1</v>
      </c>
      <c r="W36" s="29">
        <v>-50.6</v>
      </c>
      <c r="X36" s="29">
        <f>-193.5+132.1</f>
        <v>-61.400000000000006</v>
      </c>
      <c r="Y36" s="29">
        <f>-132.1+91.4</f>
        <v>-40.699999999999989</v>
      </c>
    </row>
    <row r="37" spans="1:28" s="27" customFormat="1">
      <c r="A37" s="27" t="s">
        <v>69</v>
      </c>
      <c r="B37" s="27">
        <f t="shared" ref="B37:Y37" si="26">+B35+B36</f>
        <v>124.29999999999998</v>
      </c>
      <c r="C37" s="27">
        <f t="shared" si="26"/>
        <v>139.5</v>
      </c>
      <c r="D37" s="27">
        <f t="shared" si="26"/>
        <v>139.00000000000006</v>
      </c>
      <c r="E37" s="27">
        <f t="shared" si="26"/>
        <v>208.79999999999995</v>
      </c>
      <c r="F37" s="27">
        <f t="shared" si="26"/>
        <v>-178.39999999999998</v>
      </c>
      <c r="G37" s="27">
        <f t="shared" si="26"/>
        <v>69.7</v>
      </c>
      <c r="H37" s="27">
        <f t="shared" si="26"/>
        <v>83.000000000000014</v>
      </c>
      <c r="I37" s="27">
        <f t="shared" si="26"/>
        <v>143.89999999999998</v>
      </c>
      <c r="J37" s="27">
        <f t="shared" si="26"/>
        <v>103.80000000000003</v>
      </c>
      <c r="K37" s="27">
        <f t="shared" si="26"/>
        <v>-204.4</v>
      </c>
      <c r="L37" s="27">
        <f t="shared" si="26"/>
        <v>125.39999999999992</v>
      </c>
      <c r="M37" s="27">
        <f t="shared" si="26"/>
        <v>105.00000000000003</v>
      </c>
      <c r="N37" s="27">
        <f t="shared" si="26"/>
        <v>80.299999999999983</v>
      </c>
      <c r="O37" s="27">
        <f t="shared" si="26"/>
        <v>-63.900000000000006</v>
      </c>
      <c r="P37" s="27">
        <f t="shared" si="26"/>
        <v>27.30000000000004</v>
      </c>
      <c r="Q37" s="27">
        <f t="shared" si="26"/>
        <v>67.400000000000006</v>
      </c>
      <c r="R37" s="27">
        <f t="shared" si="26"/>
        <v>47.199999999999989</v>
      </c>
      <c r="S37" s="27">
        <f t="shared" si="26"/>
        <v>27.4</v>
      </c>
      <c r="T37" s="27">
        <f t="shared" si="26"/>
        <v>52.300000000000011</v>
      </c>
      <c r="U37" s="27">
        <f t="shared" si="26"/>
        <v>54.500000000000007</v>
      </c>
      <c r="V37" s="27">
        <f t="shared" si="26"/>
        <v>102.20000000000002</v>
      </c>
      <c r="W37" s="27">
        <f t="shared" si="26"/>
        <v>-24.400000000000002</v>
      </c>
      <c r="X37" s="27">
        <f t="shared" si="26"/>
        <v>48.099999999999994</v>
      </c>
      <c r="Y37" s="27">
        <f t="shared" si="26"/>
        <v>73.100000000000023</v>
      </c>
      <c r="Z37" s="33"/>
      <c r="AA37" s="33"/>
      <c r="AB37" s="33"/>
    </row>
    <row r="39" spans="1:28" s="35" customFormat="1">
      <c r="A39" s="34" t="s">
        <v>70</v>
      </c>
      <c r="B39" s="20">
        <v>0</v>
      </c>
      <c r="C39" s="20">
        <v>0</v>
      </c>
      <c r="D39" s="20">
        <v>0</v>
      </c>
      <c r="E39" s="20">
        <v>0</v>
      </c>
      <c r="F39" s="20">
        <v>200</v>
      </c>
      <c r="G39" s="20">
        <v>200</v>
      </c>
      <c r="H39" s="20">
        <v>0</v>
      </c>
      <c r="I39" s="20">
        <v>0</v>
      </c>
      <c r="J39" s="20">
        <v>0</v>
      </c>
      <c r="K39" s="20">
        <v>0</v>
      </c>
      <c r="L39" s="20">
        <v>0</v>
      </c>
      <c r="M39" s="20">
        <v>0</v>
      </c>
      <c r="N39" s="20">
        <v>0</v>
      </c>
      <c r="O39" s="20">
        <v>0</v>
      </c>
      <c r="P39" s="20">
        <v>0</v>
      </c>
      <c r="Q39" s="20">
        <v>0</v>
      </c>
      <c r="R39" s="20">
        <v>0</v>
      </c>
      <c r="S39" s="20">
        <v>0</v>
      </c>
      <c r="T39" s="20">
        <v>0</v>
      </c>
      <c r="U39" s="20">
        <v>0</v>
      </c>
      <c r="V39" s="20">
        <v>0</v>
      </c>
      <c r="W39" s="20"/>
      <c r="X39" s="20"/>
      <c r="Y39" s="20"/>
      <c r="AA39" s="33"/>
    </row>
    <row r="40" spans="1:28" s="35" customFormat="1">
      <c r="A40" s="34" t="s">
        <v>71</v>
      </c>
      <c r="B40" s="20">
        <f>314.5+850+108.7</f>
        <v>1273.2</v>
      </c>
      <c r="C40" s="20">
        <f>318.8+988.8+109</f>
        <v>1416.6</v>
      </c>
      <c r="D40" s="20">
        <f>323+1088.8+88.8</f>
        <v>1500.6</v>
      </c>
      <c r="E40" s="20">
        <f>337.9+1188.8+104.5</f>
        <v>1631.1999999999998</v>
      </c>
      <c r="F40" s="20">
        <f>340+1188.8+109.6</f>
        <v>1638.3999999999999</v>
      </c>
      <c r="G40" s="20">
        <f>340+1188.8+102.9</f>
        <v>1631.7</v>
      </c>
      <c r="H40" s="20">
        <f>340+1188.8+113.4</f>
        <v>1642.2</v>
      </c>
      <c r="I40" s="20">
        <f>340+1248.6+113.2</f>
        <v>1701.8</v>
      </c>
      <c r="J40" s="20">
        <f>81.3+1507.4+122.6</f>
        <v>1711.3</v>
      </c>
      <c r="K40" s="20">
        <f>81.3+1507.4+123</f>
        <v>1711.7</v>
      </c>
      <c r="L40" s="20">
        <f>83.8+1511.2+127.1+3.4</f>
        <v>1725.5</v>
      </c>
      <c r="M40" s="20">
        <f>83.8+1511.2+107.6+8.5</f>
        <v>1711.1</v>
      </c>
      <c r="N40" s="20">
        <f>92.5+1526.8+94.8+15.4</f>
        <v>1729.5</v>
      </c>
      <c r="O40" s="20">
        <f>92.5+1526.8+81.2+27.5</f>
        <v>1728</v>
      </c>
      <c r="P40" s="20">
        <f>92.5+1526.8+53.2+28.3</f>
        <v>1700.8</v>
      </c>
      <c r="Q40" s="20">
        <f>93.8+1530.6+28.6+52.3</f>
        <v>1705.2999999999997</v>
      </c>
      <c r="R40" s="20">
        <f>95+1534.5+52.6+29</f>
        <v>1711.1</v>
      </c>
      <c r="S40" s="20">
        <f>60.9+5.4</f>
        <v>66.3</v>
      </c>
      <c r="T40" s="20">
        <f>60.4+5.5</f>
        <v>65.900000000000006</v>
      </c>
      <c r="U40" s="20">
        <f>61.4+5.5</f>
        <v>66.900000000000006</v>
      </c>
      <c r="V40" s="20">
        <f>64.6+5.3</f>
        <v>69.899999999999991</v>
      </c>
      <c r="W40" s="20"/>
      <c r="X40" s="20"/>
      <c r="Y40" s="20"/>
      <c r="AA40" s="33"/>
      <c r="AB40" s="33"/>
    </row>
    <row r="41" spans="1:28" s="35" customFormat="1">
      <c r="A41" s="34" t="s">
        <v>72</v>
      </c>
      <c r="B41" s="20">
        <f>+B39+B40+400+500+400+700</f>
        <v>3273.2</v>
      </c>
      <c r="C41" s="20">
        <f>+C39+C40+400+500+400+700</f>
        <v>3416.6</v>
      </c>
      <c r="D41" s="20">
        <f>+D39+D40+400+500+400+700</f>
        <v>3500.6</v>
      </c>
      <c r="E41" s="20">
        <f>+E39+E40+400+500+400+700</f>
        <v>3631.2</v>
      </c>
      <c r="F41" s="20">
        <f>+F39+F40+400+350+500+400+700</f>
        <v>4188.3999999999996</v>
      </c>
      <c r="G41" s="20">
        <f>G39+G40+350+500+400+700</f>
        <v>3781.7</v>
      </c>
      <c r="H41" s="20">
        <f>H39+H40+450+500+400+700</f>
        <v>3692.2</v>
      </c>
      <c r="I41" s="20">
        <f>I39+I40+450+500+400+700</f>
        <v>3751.8</v>
      </c>
      <c r="J41" s="20">
        <f>J39+J40+450+500+400+700</f>
        <v>3761.3</v>
      </c>
      <c r="K41" s="20">
        <f>K39+K40+100+450+500+400+700</f>
        <v>3861.7</v>
      </c>
      <c r="L41" s="20">
        <f>L39+L40+100+450+500+400+700</f>
        <v>3875.5</v>
      </c>
      <c r="M41" s="20">
        <f>M39+M40+200+450+500+400+700</f>
        <v>3961.1</v>
      </c>
      <c r="N41" s="20">
        <f>N39+N40+200+450+500+400+700</f>
        <v>3979.5</v>
      </c>
      <c r="O41" s="20">
        <f>O39+O40+200+550+500+400+700</f>
        <v>4078</v>
      </c>
      <c r="P41" s="20">
        <f>P39+P40+200+550+500+700+400</f>
        <v>4050.8</v>
      </c>
      <c r="Q41" s="20">
        <v>4255.3</v>
      </c>
      <c r="R41" s="20">
        <v>4261.1000000000004</v>
      </c>
      <c r="S41" s="20">
        <v>2616.3000000000002</v>
      </c>
      <c r="T41" s="20">
        <v>1415.9</v>
      </c>
      <c r="U41" s="20">
        <v>1416.9</v>
      </c>
      <c r="V41" s="20">
        <v>1419.9</v>
      </c>
      <c r="W41" s="20"/>
      <c r="X41" s="20"/>
      <c r="Y41" s="20"/>
      <c r="AA41" s="33"/>
    </row>
    <row r="42" spans="1:28" s="35" customFormat="1">
      <c r="A42" s="34" t="s">
        <v>73</v>
      </c>
      <c r="B42" s="36">
        <f>114047028/1000000*9.24</f>
        <v>1053.79453872</v>
      </c>
      <c r="C42" s="36">
        <f>113988342/1000000*9.37</f>
        <v>1068.07076454</v>
      </c>
      <c r="D42" s="36">
        <f>113295610/1000000*10.72</f>
        <v>1214.5289392</v>
      </c>
      <c r="E42" s="36">
        <f>113272990/1000000*6.79</f>
        <v>769.12360209999997</v>
      </c>
      <c r="F42" s="36">
        <f>113272990/1000000*7.86</f>
        <v>890.32570139999996</v>
      </c>
      <c r="G42" s="36">
        <f>113086131/1000000*3.96</f>
        <v>447.82107875999998</v>
      </c>
      <c r="H42" s="36">
        <f>112544942/1000000*8.77</f>
        <v>987.01914134000003</v>
      </c>
      <c r="I42" s="36">
        <f>112475824/1000000*10.19</f>
        <v>1146.1286465599999</v>
      </c>
      <c r="J42" s="36">
        <f>112475824/1000000*9.38</f>
        <v>1055.0232291200002</v>
      </c>
      <c r="K42" s="36">
        <f>112472237/1000000*13.61</f>
        <v>1530.7471455699999</v>
      </c>
      <c r="L42" s="36">
        <f>(111732271/1000000)*14.34</f>
        <v>1602.24076614</v>
      </c>
      <c r="M42" s="36">
        <f>(111701601/1000000)*14.73</f>
        <v>1645.3645827299999</v>
      </c>
      <c r="N42" s="36">
        <f>111685947/1000000*17.86</f>
        <v>1994.71101342</v>
      </c>
      <c r="O42" s="36">
        <f>111658423/1000000*16.73</f>
        <v>1868.04541679</v>
      </c>
      <c r="P42" s="36">
        <f>111299405/1000000*14.79</f>
        <v>1646.1181999499997</v>
      </c>
      <c r="Q42" s="36">
        <f>111290072/1000000*17.36</f>
        <v>1931.9956499199998</v>
      </c>
      <c r="R42" s="36">
        <f>111290072/1000000*17.62</f>
        <v>1960.9310686399999</v>
      </c>
      <c r="S42" s="36">
        <f>111180486/1000000*16.62</f>
        <v>1847.8196773200002</v>
      </c>
      <c r="T42" s="36">
        <f>76478463/1000000*20.41</f>
        <v>1560.9254298300002</v>
      </c>
      <c r="U42" s="36">
        <f>76473166/1000000*17.06</f>
        <v>1304.6322119599999</v>
      </c>
      <c r="V42" s="36">
        <f>76445220/1000000*17.41</f>
        <v>1330.9112802000002</v>
      </c>
      <c r="W42" s="36"/>
      <c r="X42" s="36"/>
      <c r="Y42" s="36"/>
    </row>
    <row r="43" spans="1:28">
      <c r="B43" s="35"/>
      <c r="C43" s="35"/>
      <c r="D43" s="35"/>
      <c r="E43" s="35"/>
      <c r="F43" s="35"/>
      <c r="G43" s="35"/>
      <c r="H43" s="35"/>
      <c r="I43" s="35"/>
      <c r="J43" s="35"/>
      <c r="K43" s="35"/>
      <c r="L43" s="35"/>
      <c r="M43" s="35"/>
      <c r="N43" s="35"/>
      <c r="O43" s="35"/>
      <c r="P43" s="35"/>
      <c r="Q43" s="35"/>
      <c r="R43" s="35"/>
      <c r="S43" s="35"/>
      <c r="T43" s="35"/>
    </row>
    <row r="44" spans="1:28">
      <c r="A44" s="19" t="s">
        <v>74</v>
      </c>
      <c r="B44" s="28">
        <v>587.70000000000005</v>
      </c>
      <c r="C44" s="28">
        <v>601.20000000000005</v>
      </c>
      <c r="D44" s="28">
        <v>557</v>
      </c>
      <c r="E44" s="28">
        <v>537.29999999999995</v>
      </c>
      <c r="F44" s="28">
        <v>893.3</v>
      </c>
      <c r="G44" s="28">
        <v>682.7</v>
      </c>
      <c r="H44" s="28">
        <v>532</v>
      </c>
      <c r="I44" s="28">
        <v>375.1</v>
      </c>
      <c r="J44" s="28">
        <v>248.8</v>
      </c>
      <c r="K44" s="28">
        <v>252.1</v>
      </c>
      <c r="L44" s="28">
        <v>476.4</v>
      </c>
      <c r="M44" s="28">
        <v>439.4</v>
      </c>
      <c r="N44" s="28">
        <v>353.2</v>
      </c>
      <c r="O44" s="28">
        <v>340.7</v>
      </c>
      <c r="P44" s="28">
        <v>376.8</v>
      </c>
      <c r="Q44" s="28">
        <v>549.6</v>
      </c>
      <c r="R44" s="28">
        <v>490.6</v>
      </c>
      <c r="S44" s="28">
        <v>1543.4</v>
      </c>
      <c r="T44" s="28">
        <v>481.2</v>
      </c>
      <c r="U44" s="28">
        <v>433.9</v>
      </c>
      <c r="V44" s="28">
        <v>388.4</v>
      </c>
      <c r="W44" s="28"/>
      <c r="X44" s="28"/>
      <c r="Y44" s="28"/>
    </row>
    <row r="46" spans="1:28">
      <c r="A46" s="14" t="s">
        <v>75</v>
      </c>
      <c r="B46" s="33">
        <f t="shared" ref="B46:E46" si="27">SUM(B12:E12)</f>
        <v>5560.4</v>
      </c>
      <c r="C46" s="33">
        <f t="shared" si="27"/>
        <v>4792.4000000000005</v>
      </c>
      <c r="D46" s="33">
        <f t="shared" si="27"/>
        <v>4710.8</v>
      </c>
      <c r="E46" s="33">
        <f t="shared" si="27"/>
        <v>4702.8999999999996</v>
      </c>
      <c r="F46" s="33">
        <f t="shared" ref="F46:V46" si="28">SUM(F12:I12)</f>
        <v>4966.2</v>
      </c>
      <c r="G46" s="33">
        <f t="shared" si="28"/>
        <v>6155.2</v>
      </c>
      <c r="H46" s="33">
        <f t="shared" si="28"/>
        <v>6530.9</v>
      </c>
      <c r="I46" s="33">
        <f t="shared" si="28"/>
        <v>6794.9999999999991</v>
      </c>
      <c r="J46" s="33">
        <f t="shared" si="28"/>
        <v>6934.5999999999995</v>
      </c>
      <c r="K46" s="33">
        <f t="shared" si="28"/>
        <v>7131.1999999999989</v>
      </c>
      <c r="L46" s="33">
        <f t="shared" si="28"/>
        <v>7270.4</v>
      </c>
      <c r="M46" s="33">
        <f t="shared" si="28"/>
        <v>7310.2000000000007</v>
      </c>
      <c r="N46" s="33">
        <f t="shared" si="28"/>
        <v>7217.6</v>
      </c>
      <c r="O46" s="33">
        <f t="shared" si="28"/>
        <v>7074.5000000000009</v>
      </c>
      <c r="P46" s="33">
        <f t="shared" si="28"/>
        <v>6266</v>
      </c>
      <c r="Q46" s="33">
        <f t="shared" si="28"/>
        <v>5478.6</v>
      </c>
      <c r="R46" s="33">
        <f t="shared" si="28"/>
        <v>4761.0999999999995</v>
      </c>
      <c r="S46" s="33">
        <f t="shared" si="28"/>
        <v>4028.7000000000003</v>
      </c>
      <c r="T46" s="33">
        <f t="shared" si="28"/>
        <v>3948</v>
      </c>
      <c r="U46" s="33">
        <f t="shared" si="28"/>
        <v>3959.9</v>
      </c>
      <c r="V46" s="33">
        <f t="shared" si="28"/>
        <v>3924.6</v>
      </c>
    </row>
    <row r="47" spans="1:28">
      <c r="A47" s="14" t="s">
        <v>76</v>
      </c>
      <c r="B47" s="33">
        <f t="shared" ref="B47:C47" si="29">+B27</f>
        <v>1044.0999999999999</v>
      </c>
      <c r="C47" s="33">
        <f t="shared" si="29"/>
        <v>769.4</v>
      </c>
      <c r="D47" s="33">
        <f t="shared" ref="D47:G47" si="30">+D27</f>
        <v>719.8</v>
      </c>
      <c r="E47" s="33">
        <f t="shared" si="30"/>
        <v>651.79999999999995</v>
      </c>
      <c r="F47" s="33">
        <f t="shared" si="30"/>
        <v>620.5</v>
      </c>
      <c r="G47" s="33">
        <f t="shared" si="30"/>
        <v>938.59999999999991</v>
      </c>
      <c r="H47" s="33">
        <f t="shared" ref="H47" si="31">+H27</f>
        <v>970.3</v>
      </c>
      <c r="I47" s="33">
        <f t="shared" ref="I47:J47" si="32">+I27</f>
        <v>1020.8</v>
      </c>
      <c r="J47" s="33">
        <f t="shared" si="32"/>
        <v>1030</v>
      </c>
      <c r="K47" s="33">
        <f t="shared" ref="K47:P47" si="33">+K27</f>
        <v>1111.9000000000001</v>
      </c>
      <c r="L47" s="33">
        <f t="shared" si="33"/>
        <v>1183.9000000000001</v>
      </c>
      <c r="M47" s="33">
        <f t="shared" si="33"/>
        <v>1235.5999999999999</v>
      </c>
      <c r="N47" s="33">
        <f t="shared" si="33"/>
        <v>1258.3999999999999</v>
      </c>
      <c r="O47" s="33">
        <f t="shared" si="33"/>
        <v>1236.2</v>
      </c>
      <c r="P47" s="33">
        <f t="shared" si="33"/>
        <v>1102.8</v>
      </c>
      <c r="Q47" s="33">
        <f t="shared" ref="Q47:V47" si="34">+Q27</f>
        <v>955.3</v>
      </c>
      <c r="R47" s="33">
        <f t="shared" si="34"/>
        <v>814.2</v>
      </c>
      <c r="S47" s="33">
        <f t="shared" si="34"/>
        <v>653.29999999999995</v>
      </c>
      <c r="T47" s="33">
        <f t="shared" si="34"/>
        <v>619.5</v>
      </c>
      <c r="U47" s="33">
        <f t="shared" si="34"/>
        <v>608.79999999999995</v>
      </c>
      <c r="V47" s="33">
        <f t="shared" si="34"/>
        <v>601.29999999999995</v>
      </c>
    </row>
    <row r="48" spans="1:28">
      <c r="A48" s="14" t="s">
        <v>77</v>
      </c>
      <c r="B48" s="33">
        <f t="shared" ref="B48:E48" si="35">+SUM(B37:E37)</f>
        <v>611.59999999999991</v>
      </c>
      <c r="C48" s="33">
        <f t="shared" si="35"/>
        <v>308.90000000000003</v>
      </c>
      <c r="D48" s="33">
        <f t="shared" si="35"/>
        <v>239.10000000000002</v>
      </c>
      <c r="E48" s="33">
        <f t="shared" si="35"/>
        <v>183.1</v>
      </c>
      <c r="F48" s="33">
        <f t="shared" ref="F48:V48" si="36">+SUM(F37:I37)</f>
        <v>118.20000000000002</v>
      </c>
      <c r="G48" s="33">
        <f t="shared" si="36"/>
        <v>400.40000000000003</v>
      </c>
      <c r="H48" s="33">
        <f t="shared" si="36"/>
        <v>126.29999999999998</v>
      </c>
      <c r="I48" s="33">
        <f t="shared" si="36"/>
        <v>168.6999999999999</v>
      </c>
      <c r="J48" s="33">
        <f t="shared" si="36"/>
        <v>129.79999999999995</v>
      </c>
      <c r="K48" s="33">
        <f t="shared" si="36"/>
        <v>106.29999999999993</v>
      </c>
      <c r="L48" s="33">
        <f t="shared" si="36"/>
        <v>246.79999999999993</v>
      </c>
      <c r="M48" s="33">
        <f t="shared" si="36"/>
        <v>148.70000000000005</v>
      </c>
      <c r="N48" s="33">
        <f t="shared" si="36"/>
        <v>111.10000000000002</v>
      </c>
      <c r="O48" s="33">
        <f t="shared" si="36"/>
        <v>78.000000000000028</v>
      </c>
      <c r="P48" s="33">
        <f t="shared" si="36"/>
        <v>169.30000000000004</v>
      </c>
      <c r="Q48" s="33">
        <f t="shared" si="36"/>
        <v>194.3</v>
      </c>
      <c r="R48" s="33">
        <f t="shared" si="36"/>
        <v>181.4</v>
      </c>
      <c r="S48" s="33">
        <f t="shared" si="36"/>
        <v>236.40000000000003</v>
      </c>
      <c r="T48" s="33">
        <f t="shared" si="36"/>
        <v>184.60000000000002</v>
      </c>
      <c r="U48" s="33">
        <f t="shared" si="36"/>
        <v>180.4</v>
      </c>
      <c r="V48" s="33">
        <f t="shared" si="36"/>
        <v>199.00000000000003</v>
      </c>
    </row>
    <row r="50" spans="1:25" s="37" customFormat="1">
      <c r="A50" s="37" t="s">
        <v>78</v>
      </c>
      <c r="B50" s="37">
        <f t="shared" ref="B50" si="37">+SUM(B39:B40)/B47</f>
        <v>1.2194234268748205</v>
      </c>
      <c r="C50" s="37">
        <f t="shared" ref="C50:D50" si="38">+SUM(C39:C40)/C47</f>
        <v>1.8411749415128671</v>
      </c>
      <c r="D50" s="37">
        <f t="shared" si="38"/>
        <v>2.0847457627118646</v>
      </c>
      <c r="E50" s="37">
        <f t="shared" ref="E50:G50" si="39">+SUM(E39:E40)/E47</f>
        <v>2.5026081620128875</v>
      </c>
      <c r="F50" s="37">
        <f t="shared" si="39"/>
        <v>2.9627719580983074</v>
      </c>
      <c r="G50" s="37">
        <f t="shared" si="39"/>
        <v>1.9515235457063713</v>
      </c>
      <c r="H50" s="37">
        <f t="shared" ref="H50" si="40">+SUM(H39:H40)/H47</f>
        <v>1.6924662475523036</v>
      </c>
      <c r="I50" s="37">
        <f t="shared" ref="I50:J50" si="41">+SUM(I39:I40)/I47</f>
        <v>1.6671238244514106</v>
      </c>
      <c r="J50" s="37">
        <f t="shared" si="41"/>
        <v>1.6614563106796116</v>
      </c>
      <c r="K50" s="37">
        <f t="shared" ref="K50:L50" si="42">+SUM(K39:K40)/K47</f>
        <v>1.5394369997301915</v>
      </c>
      <c r="L50" s="37">
        <f t="shared" si="42"/>
        <v>1.457471070191739</v>
      </c>
      <c r="M50" s="37">
        <f t="shared" ref="M50:N50" si="43">+SUM(M39:M40)/M47</f>
        <v>1.3848332793784397</v>
      </c>
      <c r="N50" s="37">
        <f t="shared" si="43"/>
        <v>1.374364272091545</v>
      </c>
      <c r="O50" s="37">
        <f t="shared" ref="O50:V50" si="44">+SUM(O39:O40)/O47</f>
        <v>1.3978320660087364</v>
      </c>
      <c r="P50" s="37">
        <f t="shared" si="44"/>
        <v>1.5422560754443235</v>
      </c>
      <c r="Q50" s="37">
        <f t="shared" si="44"/>
        <v>1.7850936878467496</v>
      </c>
      <c r="R50" s="37">
        <f t="shared" si="44"/>
        <v>2.1015720953082777</v>
      </c>
      <c r="S50" s="37">
        <f t="shared" si="44"/>
        <v>0.10148476963110363</v>
      </c>
      <c r="T50" s="37">
        <f t="shared" si="44"/>
        <v>0.10637610976594028</v>
      </c>
      <c r="U50" s="37">
        <f t="shared" si="44"/>
        <v>0.10988830486202367</v>
      </c>
      <c r="V50" s="37">
        <f t="shared" si="44"/>
        <v>0.11624812905371694</v>
      </c>
    </row>
    <row r="51" spans="1:25" s="37" customFormat="1">
      <c r="A51" s="37" t="s">
        <v>79</v>
      </c>
      <c r="B51" s="37">
        <f t="shared" ref="B51:C51" si="45">+B41/B47</f>
        <v>3.1349487596973469</v>
      </c>
      <c r="C51" s="37">
        <f t="shared" si="45"/>
        <v>4.4406030673251884</v>
      </c>
      <c r="D51" s="37">
        <f t="shared" ref="D51:G51" si="46">+D41/D47</f>
        <v>4.8632953598221729</v>
      </c>
      <c r="E51" s="37">
        <f t="shared" si="46"/>
        <v>5.5710340595274621</v>
      </c>
      <c r="F51" s="37">
        <f t="shared" si="46"/>
        <v>6.7500402900886378</v>
      </c>
      <c r="G51" s="37">
        <f t="shared" si="46"/>
        <v>4.0290858725761778</v>
      </c>
      <c r="H51" s="37">
        <f t="shared" ref="H51" si="47">+H41/H47</f>
        <v>3.8052148819952594</v>
      </c>
      <c r="I51" s="37">
        <f t="shared" ref="I51:J51" si="48">+I41/I47</f>
        <v>3.6753526645768027</v>
      </c>
      <c r="J51" s="37">
        <f t="shared" si="48"/>
        <v>3.651747572815534</v>
      </c>
      <c r="K51" s="37">
        <f t="shared" ref="K51:L51" si="49">+K41/K47</f>
        <v>3.4730641244716245</v>
      </c>
      <c r="L51" s="37">
        <f t="shared" si="49"/>
        <v>3.2735028296308806</v>
      </c>
      <c r="M51" s="37">
        <f t="shared" ref="M51:V51" si="50">+M41/M47</f>
        <v>3.2058109420524441</v>
      </c>
      <c r="N51" s="37">
        <f t="shared" si="50"/>
        <v>3.1623490146217423</v>
      </c>
      <c r="O51" s="37">
        <f t="shared" si="50"/>
        <v>3.2988189613331174</v>
      </c>
      <c r="P51" s="37">
        <f t="shared" si="50"/>
        <v>3.6731955023576353</v>
      </c>
      <c r="Q51" s="37">
        <f t="shared" si="50"/>
        <v>4.4544122265256991</v>
      </c>
      <c r="R51" s="37">
        <f t="shared" si="50"/>
        <v>5.2334807172684847</v>
      </c>
      <c r="S51" s="37">
        <f t="shared" si="50"/>
        <v>4.0047451400581666</v>
      </c>
      <c r="T51" s="37">
        <f t="shared" si="50"/>
        <v>2.2855528652138823</v>
      </c>
      <c r="U51" s="37">
        <f t="shared" si="50"/>
        <v>2.3273653088042052</v>
      </c>
      <c r="V51" s="37">
        <f t="shared" si="50"/>
        <v>2.3613836687177785</v>
      </c>
    </row>
    <row r="52" spans="1:25" s="37" customFormat="1">
      <c r="A52" s="37" t="s">
        <v>80</v>
      </c>
      <c r="B52" s="37">
        <f t="shared" ref="B52:C52" si="51">+(B41-B44)/B47</f>
        <v>2.5720716406474478</v>
      </c>
      <c r="C52" s="37">
        <f t="shared" si="51"/>
        <v>3.6592149727060042</v>
      </c>
      <c r="D52" s="37">
        <f t="shared" ref="D52:G52" si="52">+(D41-D44)/D47</f>
        <v>4.0894692970269517</v>
      </c>
      <c r="E52" s="37">
        <f t="shared" si="52"/>
        <v>4.7467014421601714</v>
      </c>
      <c r="F52" s="37">
        <f t="shared" si="52"/>
        <v>5.3103948428686536</v>
      </c>
      <c r="G52" s="37">
        <f t="shared" si="52"/>
        <v>3.3017259748561689</v>
      </c>
      <c r="H52" s="37">
        <f t="shared" ref="H52" si="53">+(H41-H44)/H47</f>
        <v>3.256930846130063</v>
      </c>
      <c r="I52" s="37">
        <f t="shared" ref="I52:J52" si="54">+(I41-I44)/I47</f>
        <v>3.3078957680250789</v>
      </c>
      <c r="J52" s="37">
        <f t="shared" si="54"/>
        <v>3.4101941747572817</v>
      </c>
      <c r="K52" s="37">
        <f t="shared" ref="K52:L52" si="55">+(K41-K44)/K47</f>
        <v>3.2463351020775244</v>
      </c>
      <c r="L52" s="37">
        <f t="shared" si="55"/>
        <v>2.871103978376552</v>
      </c>
      <c r="M52" s="37">
        <f t="shared" ref="M52:V52" si="56">+(M41-M44)/M47</f>
        <v>2.8501942376173521</v>
      </c>
      <c r="N52" s="37">
        <f t="shared" si="56"/>
        <v>2.8816751430387799</v>
      </c>
      <c r="O52" s="37">
        <f t="shared" si="56"/>
        <v>3.0232163080407704</v>
      </c>
      <c r="P52" s="37">
        <f t="shared" si="56"/>
        <v>3.3315197678636199</v>
      </c>
      <c r="Q52" s="37">
        <f t="shared" si="56"/>
        <v>3.8790955720716012</v>
      </c>
      <c r="R52" s="37">
        <f t="shared" si="56"/>
        <v>4.6309260623925326</v>
      </c>
      <c r="S52" s="37">
        <f t="shared" si="56"/>
        <v>1.64227766722792</v>
      </c>
      <c r="T52" s="37">
        <f t="shared" si="56"/>
        <v>1.5087974172719936</v>
      </c>
      <c r="U52" s="37">
        <f t="shared" si="56"/>
        <v>1.6146517739816035</v>
      </c>
      <c r="V52" s="37">
        <f t="shared" si="56"/>
        <v>1.7154498586396143</v>
      </c>
    </row>
    <row r="53" spans="1:25" s="38" customFormat="1">
      <c r="A53" s="38" t="s">
        <v>81</v>
      </c>
      <c r="B53" s="38">
        <f t="shared" ref="B53:C53" si="57">+B48/B41</f>
        <v>0.1868507882194794</v>
      </c>
      <c r="C53" s="38">
        <f t="shared" si="57"/>
        <v>9.041152022478488E-2</v>
      </c>
      <c r="D53" s="38">
        <f t="shared" ref="D53:G53" si="58">+D48/D41</f>
        <v>6.8302576701136958E-2</v>
      </c>
      <c r="E53" s="38">
        <f t="shared" si="58"/>
        <v>5.042410222515973E-2</v>
      </c>
      <c r="F53" s="38">
        <f t="shared" si="58"/>
        <v>2.8220800305605965E-2</v>
      </c>
      <c r="G53" s="38">
        <f t="shared" si="58"/>
        <v>0.1058783086971468</v>
      </c>
      <c r="H53" s="38">
        <f t="shared" ref="H53" si="59">+H48/H41</f>
        <v>3.4207247711391581E-2</v>
      </c>
      <c r="I53" s="38">
        <f t="shared" ref="I53:J53" si="60">+I48/I41</f>
        <v>4.4965083426621859E-2</v>
      </c>
      <c r="J53" s="38">
        <f t="shared" si="60"/>
        <v>3.4509345173211373E-2</v>
      </c>
      <c r="K53" s="38">
        <f t="shared" ref="K53:P53" si="61">+K48/K41</f>
        <v>2.7526736929331625E-2</v>
      </c>
      <c r="L53" s="38">
        <f t="shared" si="61"/>
        <v>6.368210553476969E-2</v>
      </c>
      <c r="M53" s="38">
        <f t="shared" si="61"/>
        <v>3.7540077251268601E-2</v>
      </c>
      <c r="N53" s="38">
        <f t="shared" si="61"/>
        <v>2.791808016082423E-2</v>
      </c>
      <c r="O53" s="38">
        <f t="shared" si="61"/>
        <v>1.9127023050514964E-2</v>
      </c>
      <c r="P53" s="38">
        <f t="shared" si="61"/>
        <v>4.1794213488693596E-2</v>
      </c>
      <c r="Q53" s="38">
        <f t="shared" ref="Q53:V53" si="62">+Q48/Q41</f>
        <v>4.5660705473174627E-2</v>
      </c>
      <c r="R53" s="38">
        <f t="shared" si="62"/>
        <v>4.257116706953603E-2</v>
      </c>
      <c r="S53" s="38">
        <f t="shared" si="62"/>
        <v>9.035661048044949E-2</v>
      </c>
      <c r="T53" s="38">
        <f t="shared" si="62"/>
        <v>0.13037643901405468</v>
      </c>
      <c r="U53" s="38">
        <f t="shared" si="62"/>
        <v>0.12732020608370387</v>
      </c>
      <c r="V53" s="38">
        <f t="shared" si="62"/>
        <v>0.14015071483907318</v>
      </c>
    </row>
    <row r="54" spans="1:25" s="38" customFormat="1">
      <c r="A54" s="39" t="s">
        <v>82</v>
      </c>
      <c r="B54" s="40"/>
      <c r="C54" s="40"/>
      <c r="D54" s="40"/>
      <c r="E54" s="40"/>
      <c r="F54" s="40"/>
      <c r="G54" s="40"/>
      <c r="H54" s="40"/>
      <c r="I54" s="40"/>
      <c r="J54" s="40"/>
      <c r="K54" s="40"/>
      <c r="L54" s="40"/>
      <c r="M54" s="40"/>
      <c r="N54" s="40"/>
      <c r="O54" s="40"/>
      <c r="P54" s="40"/>
      <c r="Q54" s="40"/>
      <c r="R54" s="40"/>
      <c r="S54" s="40"/>
      <c r="T54" s="40"/>
      <c r="U54" s="40"/>
      <c r="V54" s="40"/>
      <c r="W54" s="39"/>
      <c r="X54" s="39"/>
      <c r="Y54" s="39"/>
    </row>
    <row r="55" spans="1:25" s="38" customFormat="1">
      <c r="A55" s="38" t="s">
        <v>83</v>
      </c>
      <c r="B55" s="41">
        <f t="shared" ref="B55:C55" si="63">IF(B42=0,IF(B54="","","*"&amp;TEXT(B54,"0.0x")),(B41+B42-B44)/B47)</f>
        <v>3.5813567079015423</v>
      </c>
      <c r="C55" s="41">
        <f t="shared" si="63"/>
        <v>5.0474015655575784</v>
      </c>
      <c r="D55" s="41">
        <f t="shared" ref="D55:G55" si="64">IF(D42=0,IF(D54="","","*"&amp;TEXT(D54,"0.0x")),(D41+D42-D44)/D47)</f>
        <v>5.7767837443734376</v>
      </c>
      <c r="E55" s="41">
        <f t="shared" si="64"/>
        <v>5.9267008316968388</v>
      </c>
      <c r="F55" s="41">
        <f t="shared" si="64"/>
        <v>6.7452468999194188</v>
      </c>
      <c r="G55" s="41">
        <f t="shared" si="64"/>
        <v>3.7788419760920524</v>
      </c>
      <c r="H55" s="41">
        <f t="shared" ref="H55" si="65">IF(H42=0,IF(H54="","","*"&amp;TEXT(H54,"0.0x")),(H41+H42-H44)/H47)</f>
        <v>4.2741617451715959</v>
      </c>
      <c r="I55" s="41">
        <f t="shared" ref="I55:J55" si="66">IF(I42=0,IF(I54="","","*"&amp;TEXT(I54,"0.0x")),(I41+I42-I44)/I47)</f>
        <v>4.4306706960815045</v>
      </c>
      <c r="J55" s="41">
        <f t="shared" si="66"/>
        <v>4.4344885719611646</v>
      </c>
      <c r="K55" s="41">
        <f t="shared" ref="K55:P55" si="67">IF(K42=0,IF(K54="","","*"&amp;TEXT(K54,"0.0x")),(K41+K42-K44)/K47)</f>
        <v>4.6230300796564432</v>
      </c>
      <c r="L55" s="41">
        <f t="shared" si="67"/>
        <v>4.2244621725990372</v>
      </c>
      <c r="M55" s="41">
        <f t="shared" si="67"/>
        <v>4.1818263052201363</v>
      </c>
      <c r="N55" s="41">
        <f t="shared" si="67"/>
        <v>4.4667919687062945</v>
      </c>
      <c r="O55" s="41">
        <f t="shared" si="67"/>
        <v>4.5343353962061155</v>
      </c>
      <c r="P55" s="41">
        <f t="shared" si="67"/>
        <v>4.8241913311117157</v>
      </c>
      <c r="Q55" s="41">
        <f t="shared" ref="Q55:V55" si="68">IF(Q42=0,IF(Q54="","","*"&amp;TEXT(Q54,"0.0x")),(Q41+Q42-Q44)/Q47)</f>
        <v>5.9014923583376948</v>
      </c>
      <c r="R55" s="41">
        <f t="shared" si="68"/>
        <v>7.0393405411938099</v>
      </c>
      <c r="S55" s="41">
        <f t="shared" si="68"/>
        <v>4.4707173998469321</v>
      </c>
      <c r="T55" s="41">
        <f t="shared" si="68"/>
        <v>4.0284510570298639</v>
      </c>
      <c r="U55" s="41">
        <f t="shared" si="68"/>
        <v>3.7576087581471751</v>
      </c>
      <c r="V55" s="41">
        <f t="shared" si="68"/>
        <v>3.9288396477631808</v>
      </c>
      <c r="W55" s="41" t="str">
        <f>IF(W42=0,IF(W54="","",CONCATENATE("* ",W54,"x")),(W41+W42-W44)/W47)</f>
        <v/>
      </c>
      <c r="X55" s="41" t="str">
        <f>IF(X42=0,IF(X54="","",CONCATENATE("* ",X54,"x")),(X41+X42-X44)/X47)</f>
        <v/>
      </c>
      <c r="Y55" s="41" t="str">
        <f>IF(Y42=0,IF(Y54="","",CONCATENATE("* ",Y54,"x")),(Y41+Y42-Y44)/Y47)</f>
        <v/>
      </c>
    </row>
    <row r="56" spans="1:25">
      <c r="V56" s="42"/>
    </row>
    <row r="57" spans="1:25" ht="80.25" customHeight="1">
      <c r="A57" s="43" t="s">
        <v>84</v>
      </c>
      <c r="B57" s="44" t="s">
        <v>290</v>
      </c>
      <c r="C57" s="44" t="s">
        <v>290</v>
      </c>
      <c r="D57" s="44" t="s">
        <v>344</v>
      </c>
      <c r="E57" s="44" t="s">
        <v>290</v>
      </c>
      <c r="F57" s="44" t="s">
        <v>290</v>
      </c>
      <c r="G57" s="44" t="s">
        <v>290</v>
      </c>
      <c r="H57" s="44" t="s">
        <v>344</v>
      </c>
      <c r="I57" s="44" t="s">
        <v>290</v>
      </c>
      <c r="J57" s="44" t="s">
        <v>290</v>
      </c>
      <c r="K57" s="44" t="s">
        <v>290</v>
      </c>
      <c r="L57" s="44" t="s">
        <v>344</v>
      </c>
      <c r="M57" s="44"/>
      <c r="N57" s="44"/>
      <c r="O57" s="44"/>
      <c r="P57" s="44"/>
      <c r="Q57" s="44"/>
      <c r="R57" s="44"/>
      <c r="S57" s="44"/>
      <c r="T57" s="44"/>
      <c r="U57" s="44"/>
      <c r="V57" s="44"/>
      <c r="W57" s="44"/>
      <c r="X57" s="44"/>
      <c r="Y57" s="44"/>
    </row>
    <row r="58" spans="1:25">
      <c r="A58" s="45"/>
      <c r="B58" s="42"/>
      <c r="C58" s="42"/>
      <c r="D58" s="42"/>
      <c r="E58" s="42"/>
      <c r="F58" s="42"/>
      <c r="G58" s="42"/>
      <c r="H58" s="42"/>
      <c r="I58" s="42"/>
      <c r="J58" s="42"/>
      <c r="K58" s="42"/>
      <c r="L58" s="42"/>
      <c r="M58" s="42"/>
      <c r="N58" s="42"/>
      <c r="O58" s="42"/>
      <c r="P58" s="42"/>
      <c r="Q58" s="42"/>
      <c r="R58" s="42"/>
    </row>
    <row r="59" spans="1:25">
      <c r="A59" s="45"/>
    </row>
  </sheetData>
  <pageMargins left="0.7" right="0.7" top="0.75" bottom="0.75" header="0.3" footer="0.3"/>
  <pageSetup orientation="portrait" r:id="rId1"/>
  <ignoredErrors>
    <ignoredError sqref="R24:V27" formulaRange="1"/>
  </ignoredError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2:S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7" width="10.6640625" style="14" customWidth="1"/>
    <col min="18" max="16384" width="9.109375" style="14"/>
  </cols>
  <sheetData>
    <row r="2" spans="1:17">
      <c r="A2" s="13" t="s">
        <v>44</v>
      </c>
      <c r="B2" s="14" t="s">
        <v>40</v>
      </c>
    </row>
    <row r="3" spans="1:17" s="16" customFormat="1">
      <c r="A3" s="15" t="s">
        <v>45</v>
      </c>
      <c r="B3" s="16" t="s">
        <v>91</v>
      </c>
    </row>
    <row r="4" spans="1:17">
      <c r="A4" s="13" t="s">
        <v>2</v>
      </c>
      <c r="B4" s="14" t="s">
        <v>493</v>
      </c>
    </row>
    <row r="5" spans="1:17">
      <c r="A5" s="13" t="s">
        <v>46</v>
      </c>
    </row>
    <row r="6" spans="1:17">
      <c r="A6" s="13" t="s">
        <v>47</v>
      </c>
      <c r="B6" s="14">
        <v>3</v>
      </c>
    </row>
    <row r="7" spans="1:17">
      <c r="A7" s="13" t="s">
        <v>48</v>
      </c>
      <c r="B7" s="14" t="s">
        <v>458</v>
      </c>
    </row>
    <row r="8" spans="1:17">
      <c r="A8" s="13" t="s">
        <v>347</v>
      </c>
      <c r="B8" s="14" t="s">
        <v>254</v>
      </c>
    </row>
    <row r="9" spans="1:17">
      <c r="A9" s="17"/>
    </row>
    <row r="10" spans="1:17">
      <c r="A10" s="17" t="s">
        <v>49</v>
      </c>
      <c r="B10" s="18">
        <v>44196</v>
      </c>
      <c r="C10" s="18">
        <v>44104</v>
      </c>
      <c r="D10" s="18">
        <v>44012</v>
      </c>
      <c r="E10" s="18">
        <v>43921</v>
      </c>
      <c r="F10" s="18">
        <v>43830</v>
      </c>
      <c r="G10" s="18">
        <v>43738</v>
      </c>
      <c r="H10" s="18">
        <v>43646</v>
      </c>
      <c r="I10" s="18">
        <v>43555</v>
      </c>
      <c r="J10" s="18">
        <v>43465</v>
      </c>
      <c r="K10" s="18">
        <v>43373</v>
      </c>
      <c r="L10" s="18">
        <v>43281</v>
      </c>
      <c r="M10" s="18">
        <v>43190</v>
      </c>
      <c r="N10" s="18">
        <v>43100</v>
      </c>
      <c r="O10" s="18">
        <v>43008</v>
      </c>
      <c r="P10" s="18">
        <v>42916</v>
      </c>
      <c r="Q10" s="18">
        <v>42825</v>
      </c>
    </row>
    <row r="12" spans="1:17">
      <c r="A12" s="19" t="s">
        <v>50</v>
      </c>
      <c r="B12" s="20">
        <f>11443-C12-D12-E12</f>
        <v>2524</v>
      </c>
      <c r="C12" s="20">
        <v>3552</v>
      </c>
      <c r="D12" s="20">
        <v>2509</v>
      </c>
      <c r="E12" s="20">
        <v>2858</v>
      </c>
      <c r="F12" s="20">
        <f>11809-G12-H12-I12</f>
        <v>2860</v>
      </c>
      <c r="G12" s="20">
        <v>3194</v>
      </c>
      <c r="H12" s="20">
        <v>2832</v>
      </c>
      <c r="I12" s="20">
        <v>2923</v>
      </c>
      <c r="J12" s="20">
        <f>9144-K12-L12-M12</f>
        <v>2562</v>
      </c>
      <c r="K12" s="20">
        <v>3243</v>
      </c>
      <c r="L12" s="20">
        <v>2574</v>
      </c>
      <c r="M12" s="20">
        <v>765</v>
      </c>
      <c r="N12" s="20">
        <f>5430-O12-P12-Q12</f>
        <v>944</v>
      </c>
      <c r="O12" s="20">
        <v>1833</v>
      </c>
      <c r="P12" s="20">
        <v>1296</v>
      </c>
      <c r="Q12" s="20">
        <v>1357</v>
      </c>
    </row>
    <row r="13" spans="1:17" s="21" customFormat="1">
      <c r="A13" s="21" t="s">
        <v>51</v>
      </c>
      <c r="B13" s="21">
        <f t="shared" ref="B13:M13" si="0">+B12/F12-1</f>
        <v>-0.11748251748251748</v>
      </c>
      <c r="C13" s="21">
        <f t="shared" si="0"/>
        <v>0.11208515967438948</v>
      </c>
      <c r="D13" s="21">
        <f t="shared" si="0"/>
        <v>-0.11405367231638419</v>
      </c>
      <c r="E13" s="21">
        <f t="shared" si="0"/>
        <v>-2.2237427300718426E-2</v>
      </c>
      <c r="F13" s="21">
        <f t="shared" si="0"/>
        <v>0.11631537861046048</v>
      </c>
      <c r="G13" s="21">
        <f t="shared" si="0"/>
        <v>-1.5109466543324124E-2</v>
      </c>
      <c r="H13" s="21">
        <f t="shared" si="0"/>
        <v>0.10023310023310028</v>
      </c>
      <c r="I13" s="21">
        <f t="shared" si="0"/>
        <v>2.8209150326797388</v>
      </c>
      <c r="J13" s="21">
        <f t="shared" si="0"/>
        <v>1.7139830508474576</v>
      </c>
      <c r="K13" s="21">
        <f t="shared" si="0"/>
        <v>0.76923076923076916</v>
      </c>
      <c r="L13" s="21">
        <f t="shared" si="0"/>
        <v>0.98611111111111116</v>
      </c>
      <c r="M13" s="21">
        <f t="shared" si="0"/>
        <v>-0.4362564480471629</v>
      </c>
    </row>
    <row r="14" spans="1:17"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c r="O14" s="23"/>
      <c r="P14" s="23"/>
      <c r="Q14" s="23"/>
    </row>
    <row r="16" spans="1:17" s="17" customFormat="1">
      <c r="A16" s="25" t="s">
        <v>53</v>
      </c>
      <c r="B16" s="26">
        <f>515+213+17</f>
        <v>745</v>
      </c>
      <c r="C16" s="26">
        <f>1173-321+272+16</f>
        <v>1140</v>
      </c>
      <c r="D16" s="26">
        <f>845+2+17</f>
        <v>864</v>
      </c>
      <c r="E16" s="26">
        <f>800-125+13+84+28</f>
        <v>800</v>
      </c>
      <c r="F16" s="26">
        <f>3726-696+48-G16-H16-I16</f>
        <v>719</v>
      </c>
      <c r="G16" s="26">
        <f>827+12+79</f>
        <v>918</v>
      </c>
      <c r="H16" s="26">
        <f>1175-517+11</f>
        <v>669</v>
      </c>
      <c r="I16" s="26">
        <f>945-186+13</f>
        <v>772</v>
      </c>
      <c r="J16" s="26">
        <f>1943+380+73-K16-L16-M16</f>
        <v>647</v>
      </c>
      <c r="K16" s="26">
        <f>1125+8+14</f>
        <v>1147</v>
      </c>
      <c r="L16" s="26">
        <f>586-216+42</f>
        <v>412</v>
      </c>
      <c r="M16" s="26">
        <f>-231+415+6</f>
        <v>190</v>
      </c>
      <c r="N16" s="26">
        <f>1224+146+19-O16-P16-Q16</f>
        <v>223</v>
      </c>
      <c r="O16" s="26">
        <f>796-148</f>
        <v>648</v>
      </c>
      <c r="P16" s="26">
        <f>224+67+4</f>
        <v>295</v>
      </c>
      <c r="Q16" s="26">
        <f>343-120</f>
        <v>223</v>
      </c>
    </row>
    <row r="17" spans="1:17" s="21" customFormat="1">
      <c r="A17" s="21" t="s">
        <v>54</v>
      </c>
      <c r="B17" s="21">
        <f t="shared" ref="B17" si="1">+B16/B12</f>
        <v>0.29516640253565768</v>
      </c>
      <c r="C17" s="21">
        <f t="shared" ref="C17" si="2">+C16/C12</f>
        <v>0.32094594594594594</v>
      </c>
      <c r="D17" s="21">
        <f t="shared" ref="D17:Q17" si="3">+D16/D12</f>
        <v>0.34436030290952568</v>
      </c>
      <c r="E17" s="21">
        <f t="shared" si="3"/>
        <v>0.27991602519244224</v>
      </c>
      <c r="F17" s="21">
        <f t="shared" si="3"/>
        <v>0.25139860139860137</v>
      </c>
      <c r="G17" s="21">
        <f t="shared" si="3"/>
        <v>0.28741390106449594</v>
      </c>
      <c r="H17" s="21">
        <f t="shared" si="3"/>
        <v>0.23622881355932204</v>
      </c>
      <c r="I17" s="21">
        <f t="shared" si="3"/>
        <v>0.26411221347930208</v>
      </c>
      <c r="J17" s="21">
        <f t="shared" si="3"/>
        <v>0.25253708040593287</v>
      </c>
      <c r="K17" s="21">
        <f t="shared" si="3"/>
        <v>0.35368485969781066</v>
      </c>
      <c r="L17" s="21">
        <f t="shared" si="3"/>
        <v>0.16006216006216006</v>
      </c>
      <c r="M17" s="21">
        <f t="shared" si="3"/>
        <v>0.24836601307189543</v>
      </c>
      <c r="N17" s="21">
        <f t="shared" si="3"/>
        <v>0.23622881355932204</v>
      </c>
      <c r="O17" s="21">
        <f t="shared" si="3"/>
        <v>0.353518821603928</v>
      </c>
      <c r="P17" s="21">
        <f t="shared" si="3"/>
        <v>0.22762345679012347</v>
      </c>
      <c r="Q17" s="21">
        <f t="shared" si="3"/>
        <v>0.1643330876934414</v>
      </c>
    </row>
    <row r="18" spans="1:17" s="24" customFormat="1"/>
    <row r="19" spans="1:17" s="24" customFormat="1">
      <c r="A19" s="19" t="s">
        <v>55</v>
      </c>
      <c r="B19" s="20">
        <v>-1</v>
      </c>
      <c r="C19" s="20">
        <v>-2</v>
      </c>
      <c r="D19" s="20">
        <v>0</v>
      </c>
      <c r="E19" s="20">
        <f>19</f>
        <v>19</v>
      </c>
      <c r="F19" s="20">
        <f>115-G19-H19-I19</f>
        <v>32</v>
      </c>
      <c r="G19" s="20">
        <v>38</v>
      </c>
      <c r="H19" s="20">
        <v>27</v>
      </c>
      <c r="I19" s="20">
        <v>18</v>
      </c>
      <c r="J19" s="20">
        <f>233-K19-L19-M19</f>
        <v>30</v>
      </c>
      <c r="K19" s="20">
        <v>19</v>
      </c>
      <c r="L19" s="20">
        <v>156</v>
      </c>
      <c r="M19" s="20">
        <v>28</v>
      </c>
      <c r="N19" s="20">
        <f>27-O19-P19-Q19</f>
        <v>24</v>
      </c>
      <c r="O19" s="20">
        <v>0</v>
      </c>
      <c r="P19" s="20">
        <v>3</v>
      </c>
      <c r="Q19" s="20">
        <v>0</v>
      </c>
    </row>
    <row r="20" spans="1:17" s="24" customFormat="1">
      <c r="A20" s="19" t="s">
        <v>56</v>
      </c>
      <c r="B20" s="20">
        <v>0</v>
      </c>
      <c r="C20" s="20">
        <v>0</v>
      </c>
      <c r="D20" s="20">
        <v>0</v>
      </c>
      <c r="E20" s="20">
        <v>0</v>
      </c>
      <c r="F20" s="20">
        <v>0</v>
      </c>
      <c r="G20" s="20">
        <v>0</v>
      </c>
      <c r="H20" s="20">
        <v>0</v>
      </c>
      <c r="I20" s="20">
        <v>0</v>
      </c>
      <c r="J20" s="20">
        <v>0</v>
      </c>
      <c r="K20" s="20">
        <v>0</v>
      </c>
      <c r="L20" s="20">
        <v>0</v>
      </c>
      <c r="M20" s="20">
        <v>2</v>
      </c>
      <c r="N20" s="20">
        <f>3-O20-P20-Q20</f>
        <v>-3</v>
      </c>
      <c r="O20" s="20">
        <v>2</v>
      </c>
      <c r="P20" s="20">
        <v>0</v>
      </c>
      <c r="Q20" s="20">
        <v>4</v>
      </c>
    </row>
    <row r="21" spans="1:17" s="24" customFormat="1">
      <c r="A21" s="19" t="s">
        <v>57</v>
      </c>
      <c r="B21" s="20">
        <f t="shared" ref="B21:Q21" si="4">B22-B16-B19-B20</f>
        <v>55</v>
      </c>
      <c r="C21" s="20">
        <f t="shared" si="4"/>
        <v>-1</v>
      </c>
      <c r="D21" s="20">
        <f t="shared" si="4"/>
        <v>52</v>
      </c>
      <c r="E21" s="20">
        <f t="shared" si="4"/>
        <v>14</v>
      </c>
      <c r="F21" s="20">
        <f t="shared" si="4"/>
        <v>20</v>
      </c>
      <c r="G21" s="20">
        <f t="shared" si="4"/>
        <v>104</v>
      </c>
      <c r="H21" s="20">
        <f t="shared" si="4"/>
        <v>-4</v>
      </c>
      <c r="I21" s="20">
        <f t="shared" si="4"/>
        <v>12</v>
      </c>
      <c r="J21" s="20">
        <f t="shared" si="4"/>
        <v>25</v>
      </c>
      <c r="K21" s="20">
        <f t="shared" si="4"/>
        <v>-25</v>
      </c>
      <c r="L21" s="20">
        <f t="shared" si="4"/>
        <v>90</v>
      </c>
      <c r="M21" s="20">
        <f t="shared" si="4"/>
        <v>21</v>
      </c>
      <c r="N21" s="20">
        <f t="shared" si="4"/>
        <v>68</v>
      </c>
      <c r="O21" s="20">
        <f t="shared" si="4"/>
        <v>-128</v>
      </c>
      <c r="P21" s="20">
        <f t="shared" si="4"/>
        <v>47</v>
      </c>
      <c r="Q21" s="20">
        <f t="shared" si="4"/>
        <v>49</v>
      </c>
    </row>
    <row r="22" spans="1:17" s="17" customFormat="1">
      <c r="A22" s="17" t="s">
        <v>58</v>
      </c>
      <c r="B22" s="27">
        <v>799</v>
      </c>
      <c r="C22" s="27">
        <v>1137</v>
      </c>
      <c r="D22" s="27">
        <v>916</v>
      </c>
      <c r="E22" s="27">
        <v>833</v>
      </c>
      <c r="F22" s="27">
        <f>3325-G22-H22-I22</f>
        <v>771</v>
      </c>
      <c r="G22" s="27">
        <f>1060</f>
        <v>1060</v>
      </c>
      <c r="H22" s="27">
        <v>692</v>
      </c>
      <c r="I22" s="27">
        <v>802</v>
      </c>
      <c r="J22" s="27">
        <f>2742-K22-L22-M22</f>
        <v>702</v>
      </c>
      <c r="K22" s="27">
        <v>1141</v>
      </c>
      <c r="L22" s="27">
        <v>658</v>
      </c>
      <c r="M22" s="27">
        <v>241</v>
      </c>
      <c r="N22" s="27">
        <f>1455-O22-P22-Q22</f>
        <v>312</v>
      </c>
      <c r="O22" s="27">
        <v>522</v>
      </c>
      <c r="P22" s="27">
        <v>345</v>
      </c>
      <c r="Q22" s="27">
        <f>621-P22</f>
        <v>276</v>
      </c>
    </row>
    <row r="23" spans="1:17" s="17" customFormat="1">
      <c r="B23" s="128"/>
      <c r="C23" s="157"/>
      <c r="D23" s="21"/>
      <c r="E23" s="21"/>
      <c r="F23" s="21"/>
      <c r="G23" s="21"/>
      <c r="H23" s="21"/>
      <c r="I23" s="21"/>
      <c r="J23" s="21"/>
      <c r="K23" s="21"/>
      <c r="L23" s="27"/>
      <c r="M23" s="27"/>
      <c r="N23" s="27"/>
      <c r="O23" s="27"/>
      <c r="P23" s="27"/>
      <c r="Q23" s="27"/>
    </row>
    <row r="24" spans="1:17" s="17" customFormat="1">
      <c r="A24" s="17" t="s">
        <v>59</v>
      </c>
      <c r="B24" s="27">
        <f t="shared" ref="B24:N24" si="5">SUM(B22:E22)</f>
        <v>3685</v>
      </c>
      <c r="C24" s="27">
        <f t="shared" si="5"/>
        <v>3657</v>
      </c>
      <c r="D24" s="27">
        <f t="shared" si="5"/>
        <v>3580</v>
      </c>
      <c r="E24" s="27">
        <f t="shared" si="5"/>
        <v>3356</v>
      </c>
      <c r="F24" s="27">
        <f t="shared" si="5"/>
        <v>3325</v>
      </c>
      <c r="G24" s="27">
        <f>H27+G22-K22</f>
        <v>3274</v>
      </c>
      <c r="H24" s="27">
        <f>I27+H22-L22</f>
        <v>3355</v>
      </c>
      <c r="I24" s="27">
        <f>J27+I22-M22</f>
        <v>3321</v>
      </c>
      <c r="J24" s="27">
        <f t="shared" si="5"/>
        <v>2742</v>
      </c>
      <c r="K24" s="27">
        <f t="shared" si="5"/>
        <v>2352</v>
      </c>
      <c r="L24" s="27">
        <f t="shared" si="5"/>
        <v>1733</v>
      </c>
      <c r="M24" s="27">
        <f t="shared" si="5"/>
        <v>1420</v>
      </c>
      <c r="N24" s="27">
        <f t="shared" si="5"/>
        <v>1455</v>
      </c>
      <c r="O24" s="27"/>
      <c r="P24" s="27"/>
      <c r="Q24" s="27"/>
    </row>
    <row r="25" spans="1:17" s="24" customFormat="1">
      <c r="A25" s="19" t="s">
        <v>60</v>
      </c>
      <c r="B25" s="28">
        <v>0</v>
      </c>
      <c r="C25" s="28">
        <v>0</v>
      </c>
      <c r="D25" s="28">
        <v>0</v>
      </c>
      <c r="E25" s="28">
        <v>0</v>
      </c>
      <c r="F25" s="28">
        <v>0</v>
      </c>
      <c r="G25" s="28">
        <v>0</v>
      </c>
      <c r="H25" s="28">
        <v>0</v>
      </c>
      <c r="I25" s="28">
        <v>0</v>
      </c>
      <c r="J25" s="28">
        <f>2760-J24</f>
        <v>18</v>
      </c>
      <c r="K25" s="28">
        <v>0</v>
      </c>
      <c r="L25" s="28">
        <v>0</v>
      </c>
      <c r="M25" s="28">
        <v>0</v>
      </c>
      <c r="N25" s="28">
        <v>0</v>
      </c>
      <c r="O25" s="28"/>
      <c r="P25" s="28"/>
      <c r="Q25" s="28"/>
    </row>
    <row r="26" spans="1:17" s="24" customFormat="1">
      <c r="A26" s="19" t="s">
        <v>61</v>
      </c>
      <c r="B26" s="29">
        <v>0</v>
      </c>
      <c r="C26" s="29">
        <v>0</v>
      </c>
      <c r="D26" s="29">
        <v>0</v>
      </c>
      <c r="E26" s="29">
        <v>0</v>
      </c>
      <c r="F26" s="29">
        <v>0</v>
      </c>
      <c r="G26" s="29">
        <v>0</v>
      </c>
      <c r="H26" s="29">
        <v>0</v>
      </c>
      <c r="I26" s="29">
        <v>0</v>
      </c>
      <c r="J26" s="29">
        <v>0</v>
      </c>
      <c r="K26" s="29">
        <v>0</v>
      </c>
      <c r="L26" s="29">
        <v>0</v>
      </c>
      <c r="M26" s="29">
        <v>0</v>
      </c>
      <c r="N26" s="29">
        <v>0</v>
      </c>
      <c r="O26" s="29"/>
      <c r="P26" s="29"/>
      <c r="Q26" s="29"/>
    </row>
    <row r="27" spans="1:17" s="32" customFormat="1">
      <c r="A27" s="17" t="s">
        <v>62</v>
      </c>
      <c r="B27" s="27">
        <f t="shared" ref="B27" si="6">SUM(B24:B26)</f>
        <v>3685</v>
      </c>
      <c r="C27" s="27">
        <f t="shared" ref="C27:D27" si="7">SUM(C24:C26)</f>
        <v>3657</v>
      </c>
      <c r="D27" s="27">
        <f t="shared" si="7"/>
        <v>3580</v>
      </c>
      <c r="E27" s="27">
        <f t="shared" ref="E27:F27" si="8">SUM(E24:E26)</f>
        <v>3356</v>
      </c>
      <c r="F27" s="27">
        <f t="shared" si="8"/>
        <v>3325</v>
      </c>
      <c r="G27" s="27">
        <f t="shared" ref="G27:H27" si="9">SUM(G24:G26)</f>
        <v>3274</v>
      </c>
      <c r="H27" s="27">
        <f t="shared" si="9"/>
        <v>3355</v>
      </c>
      <c r="I27" s="27">
        <f t="shared" ref="I27:J27" si="10">SUM(I24:I26)</f>
        <v>3321</v>
      </c>
      <c r="J27" s="27">
        <f t="shared" si="10"/>
        <v>2760</v>
      </c>
      <c r="K27" s="27">
        <f t="shared" ref="K27:N27" si="11">SUM(K24:K26)</f>
        <v>2352</v>
      </c>
      <c r="L27" s="27">
        <f t="shared" si="11"/>
        <v>1733</v>
      </c>
      <c r="M27" s="27">
        <f t="shared" si="11"/>
        <v>1420</v>
      </c>
      <c r="N27" s="27">
        <f t="shared" si="11"/>
        <v>1455</v>
      </c>
      <c r="O27" s="27"/>
      <c r="P27" s="27"/>
      <c r="Q27" s="27"/>
    </row>
    <row r="28" spans="1:17" s="24" customFormat="1"/>
    <row r="29" spans="1:17" s="17" customFormat="1">
      <c r="A29" s="17" t="s">
        <v>58</v>
      </c>
      <c r="B29" s="27">
        <f t="shared" ref="B29" si="12">B22</f>
        <v>799</v>
      </c>
      <c r="C29" s="27">
        <f t="shared" ref="C29:D29" si="13">C22</f>
        <v>1137</v>
      </c>
      <c r="D29" s="27">
        <f t="shared" si="13"/>
        <v>916</v>
      </c>
      <c r="E29" s="27">
        <f t="shared" ref="E29:F29" si="14">E22</f>
        <v>833</v>
      </c>
      <c r="F29" s="27">
        <f t="shared" si="14"/>
        <v>771</v>
      </c>
      <c r="G29" s="27">
        <f t="shared" ref="G29:H29" si="15">G22</f>
        <v>1060</v>
      </c>
      <c r="H29" s="27">
        <f t="shared" si="15"/>
        <v>692</v>
      </c>
      <c r="I29" s="27">
        <f t="shared" ref="I29:J29" si="16">I22</f>
        <v>802</v>
      </c>
      <c r="J29" s="27">
        <f t="shared" si="16"/>
        <v>702</v>
      </c>
      <c r="K29" s="27">
        <f t="shared" ref="K29:Q29" si="17">K22</f>
        <v>1141</v>
      </c>
      <c r="L29" s="27">
        <f t="shared" si="17"/>
        <v>658</v>
      </c>
      <c r="M29" s="27">
        <f t="shared" si="17"/>
        <v>241</v>
      </c>
      <c r="N29" s="27">
        <f t="shared" si="17"/>
        <v>312</v>
      </c>
      <c r="O29" s="27">
        <f t="shared" si="17"/>
        <v>522</v>
      </c>
      <c r="P29" s="27">
        <f t="shared" si="17"/>
        <v>345</v>
      </c>
      <c r="Q29" s="27">
        <f t="shared" si="17"/>
        <v>276</v>
      </c>
    </row>
    <row r="30" spans="1:17" s="33" customFormat="1">
      <c r="A30" s="20" t="s">
        <v>63</v>
      </c>
      <c r="B30" s="20"/>
      <c r="C30" s="20"/>
      <c r="D30" s="20"/>
      <c r="E30" s="20"/>
      <c r="F30" s="20"/>
      <c r="G30" s="20"/>
      <c r="H30" s="20"/>
      <c r="I30" s="20"/>
      <c r="J30" s="20"/>
      <c r="K30" s="20"/>
      <c r="L30" s="20"/>
      <c r="M30" s="20"/>
      <c r="N30" s="20"/>
      <c r="O30" s="20"/>
      <c r="P30" s="20"/>
      <c r="Q30" s="20"/>
    </row>
    <row r="31" spans="1:17" s="33" customFormat="1">
      <c r="A31" s="20" t="s">
        <v>64</v>
      </c>
      <c r="B31" s="20"/>
      <c r="C31" s="20"/>
      <c r="D31" s="20"/>
      <c r="E31" s="20"/>
      <c r="F31" s="20"/>
      <c r="G31" s="20"/>
      <c r="H31" s="20"/>
      <c r="I31" s="20"/>
      <c r="J31" s="20"/>
      <c r="K31" s="20"/>
      <c r="L31" s="20"/>
      <c r="M31" s="20"/>
      <c r="N31" s="20"/>
      <c r="O31" s="20"/>
      <c r="P31" s="20"/>
      <c r="Q31" s="20"/>
    </row>
    <row r="32" spans="1:17" s="33" customFormat="1">
      <c r="A32" s="20" t="s">
        <v>65</v>
      </c>
      <c r="B32" s="20"/>
      <c r="C32" s="20"/>
      <c r="D32" s="20"/>
      <c r="E32" s="20"/>
      <c r="F32" s="20"/>
      <c r="G32" s="20"/>
      <c r="H32" s="20"/>
      <c r="I32" s="20"/>
      <c r="J32" s="20"/>
      <c r="K32" s="20"/>
      <c r="L32" s="20"/>
      <c r="M32" s="20"/>
      <c r="N32" s="20"/>
      <c r="O32" s="20"/>
      <c r="P32" s="20"/>
      <c r="Q32" s="20"/>
    </row>
    <row r="33" spans="1:19" s="33" customFormat="1">
      <c r="A33" s="20" t="s">
        <v>66</v>
      </c>
      <c r="B33" s="20"/>
      <c r="C33" s="20"/>
      <c r="D33" s="20"/>
      <c r="E33" s="20"/>
      <c r="F33" s="20"/>
      <c r="G33" s="20"/>
      <c r="H33" s="20"/>
      <c r="I33" s="20"/>
      <c r="J33" s="20"/>
      <c r="K33" s="20"/>
      <c r="L33" s="20"/>
      <c r="M33" s="20"/>
      <c r="N33" s="20"/>
      <c r="O33" s="20"/>
      <c r="P33" s="20"/>
      <c r="Q33" s="20"/>
    </row>
    <row r="34" spans="1:19" s="33" customFormat="1">
      <c r="A34" s="20" t="s">
        <v>57</v>
      </c>
      <c r="B34" s="29"/>
      <c r="C34" s="29"/>
      <c r="D34" s="29"/>
      <c r="E34" s="29"/>
      <c r="F34" s="29"/>
      <c r="G34" s="29"/>
      <c r="H34" s="29"/>
      <c r="I34" s="29"/>
      <c r="J34" s="29"/>
      <c r="K34" s="29"/>
      <c r="L34" s="29"/>
      <c r="M34" s="29"/>
      <c r="N34" s="29"/>
      <c r="O34" s="29"/>
      <c r="P34" s="29"/>
      <c r="Q34" s="29"/>
    </row>
    <row r="35" spans="1:19" s="27" customFormat="1">
      <c r="A35" s="27" t="s">
        <v>67</v>
      </c>
      <c r="B35" s="27">
        <f>3337-C35-D35-E35</f>
        <v>987</v>
      </c>
      <c r="C35" s="27">
        <f>2350-D35-E35</f>
        <v>1041</v>
      </c>
      <c r="D35" s="27">
        <f>1309-E35</f>
        <v>757</v>
      </c>
      <c r="E35" s="27">
        <v>552</v>
      </c>
      <c r="F35" s="27">
        <f>2736-G35-H35-I35</f>
        <v>913</v>
      </c>
      <c r="G35" s="27">
        <f>1823-H35-I35</f>
        <v>941</v>
      </c>
      <c r="H35" s="27">
        <f>882-I35</f>
        <v>494</v>
      </c>
      <c r="I35" s="27">
        <v>388</v>
      </c>
      <c r="J35" s="27">
        <f>1471-K35-L35-M35</f>
        <v>608</v>
      </c>
      <c r="K35" s="27">
        <f>863-L35-M35</f>
        <v>892</v>
      </c>
      <c r="L35" s="27">
        <f>-29-M35</f>
        <v>-7</v>
      </c>
      <c r="M35" s="27">
        <f>-22</f>
        <v>-22</v>
      </c>
      <c r="N35" s="27">
        <f>1386-O35-P35-Q35</f>
        <v>541</v>
      </c>
      <c r="O35" s="27">
        <f>845-P35-Q35</f>
        <v>512</v>
      </c>
      <c r="P35" s="27">
        <f>333-Q35</f>
        <v>192</v>
      </c>
      <c r="Q35" s="27">
        <v>141</v>
      </c>
    </row>
    <row r="36" spans="1:19" s="33" customFormat="1">
      <c r="A36" s="20" t="s">
        <v>68</v>
      </c>
      <c r="B36" s="29">
        <f>-1259-C36-D36-E36</f>
        <v>-421</v>
      </c>
      <c r="C36" s="29">
        <f>-838-D36-E36</f>
        <v>-250</v>
      </c>
      <c r="D36" s="29">
        <f>-588-E36</f>
        <v>-327</v>
      </c>
      <c r="E36" s="29">
        <v>-261</v>
      </c>
      <c r="F36" s="29">
        <f>-520-89-104-G36-H36-I36</f>
        <v>-239</v>
      </c>
      <c r="G36" s="29">
        <f>-348-33-93-H36-I36</f>
        <v>-171</v>
      </c>
      <c r="H36" s="29">
        <f>-247-20-36-I36</f>
        <v>-150</v>
      </c>
      <c r="I36" s="29">
        <f>-118-13-22</f>
        <v>-153</v>
      </c>
      <c r="J36" s="29">
        <f>-378-118-34-K36-L36-M36</f>
        <v>-227</v>
      </c>
      <c r="K36" s="29">
        <f>-209-66-28-L36-M36</f>
        <v>-101</v>
      </c>
      <c r="L36" s="29">
        <f>-153-28-21-M36</f>
        <v>-131</v>
      </c>
      <c r="M36" s="29">
        <f>-39-11-21</f>
        <v>-71</v>
      </c>
      <c r="N36" s="29">
        <f>-114-62-190-O36-P36-Q36</f>
        <v>-95</v>
      </c>
      <c r="O36" s="29">
        <f>-86-56-129-P36-Q36</f>
        <v>-77</v>
      </c>
      <c r="P36" s="29">
        <f>-63-35-96-Q36</f>
        <v>-151</v>
      </c>
      <c r="Q36" s="29">
        <f>-31-12</f>
        <v>-43</v>
      </c>
    </row>
    <row r="37" spans="1:19" s="27" customFormat="1">
      <c r="A37" s="27" t="s">
        <v>69</v>
      </c>
      <c r="B37" s="27">
        <f t="shared" ref="B37:Q37" si="18">+B35+B36</f>
        <v>566</v>
      </c>
      <c r="C37" s="27">
        <f t="shared" si="18"/>
        <v>791</v>
      </c>
      <c r="D37" s="27">
        <f t="shared" si="18"/>
        <v>430</v>
      </c>
      <c r="E37" s="27">
        <f t="shared" si="18"/>
        <v>291</v>
      </c>
      <c r="F37" s="27">
        <f t="shared" si="18"/>
        <v>674</v>
      </c>
      <c r="G37" s="27">
        <f t="shared" si="18"/>
        <v>770</v>
      </c>
      <c r="H37" s="27">
        <f t="shared" si="18"/>
        <v>344</v>
      </c>
      <c r="I37" s="27">
        <f t="shared" si="18"/>
        <v>235</v>
      </c>
      <c r="J37" s="27">
        <f t="shared" si="18"/>
        <v>381</v>
      </c>
      <c r="K37" s="27">
        <f t="shared" si="18"/>
        <v>791</v>
      </c>
      <c r="L37" s="27">
        <f t="shared" si="18"/>
        <v>-138</v>
      </c>
      <c r="M37" s="27">
        <f t="shared" si="18"/>
        <v>-93</v>
      </c>
      <c r="N37" s="27">
        <f t="shared" si="18"/>
        <v>446</v>
      </c>
      <c r="O37" s="27">
        <f t="shared" si="18"/>
        <v>435</v>
      </c>
      <c r="P37" s="27">
        <f t="shared" si="18"/>
        <v>41</v>
      </c>
      <c r="Q37" s="27">
        <f t="shared" si="18"/>
        <v>98</v>
      </c>
    </row>
    <row r="38" spans="1:19">
      <c r="B38" s="33"/>
      <c r="C38" s="33"/>
      <c r="D38" s="33"/>
      <c r="E38" s="33"/>
      <c r="F38" s="33"/>
      <c r="G38" s="33"/>
    </row>
    <row r="39" spans="1:19" s="35" customFormat="1">
      <c r="A39" s="34" t="s">
        <v>70</v>
      </c>
      <c r="B39" s="20">
        <v>0</v>
      </c>
      <c r="C39" s="20">
        <v>0</v>
      </c>
      <c r="D39" s="20">
        <v>0</v>
      </c>
      <c r="E39" s="20">
        <v>0</v>
      </c>
      <c r="F39" s="20">
        <v>0</v>
      </c>
      <c r="G39" s="20">
        <v>0</v>
      </c>
      <c r="H39" s="20">
        <v>0</v>
      </c>
      <c r="I39" s="20">
        <v>0</v>
      </c>
      <c r="J39" s="20">
        <v>0</v>
      </c>
      <c r="K39" s="20">
        <v>0</v>
      </c>
      <c r="L39" s="20">
        <v>0</v>
      </c>
      <c r="M39" s="20">
        <v>0</v>
      </c>
      <c r="N39" s="20">
        <v>0</v>
      </c>
      <c r="O39" s="20"/>
      <c r="P39" s="20"/>
      <c r="Q39" s="20"/>
      <c r="S39" s="33"/>
    </row>
    <row r="40" spans="1:19" s="35" customFormat="1">
      <c r="A40" s="34" t="s">
        <v>71</v>
      </c>
      <c r="B40" s="20">
        <f>2572+3100</f>
        <v>5672</v>
      </c>
      <c r="C40" s="20">
        <f>2579+3100</f>
        <v>5679</v>
      </c>
      <c r="D40" s="20">
        <f>2586+3100</f>
        <v>5686</v>
      </c>
      <c r="E40" s="20">
        <f>2593+3100</f>
        <v>5693</v>
      </c>
      <c r="F40" s="20">
        <f>2700+3100</f>
        <v>5800</v>
      </c>
      <c r="G40" s="20">
        <f>3798+1200+800</f>
        <v>5798</v>
      </c>
      <c r="H40" s="20">
        <f>3798+2000</f>
        <v>5798</v>
      </c>
      <c r="I40" s="20">
        <v>5798</v>
      </c>
      <c r="J40" s="20">
        <f>5813</f>
        <v>5813</v>
      </c>
      <c r="K40" s="20">
        <v>5828</v>
      </c>
      <c r="L40" s="20">
        <v>5842</v>
      </c>
      <c r="M40" s="20">
        <v>4313</v>
      </c>
      <c r="N40" s="20">
        <v>4311</v>
      </c>
      <c r="O40" s="20"/>
      <c r="P40" s="20"/>
      <c r="Q40" s="20"/>
      <c r="R40" s="99"/>
      <c r="S40" s="33"/>
    </row>
    <row r="41" spans="1:19" s="35" customFormat="1">
      <c r="A41" s="34" t="s">
        <v>72</v>
      </c>
      <c r="B41" s="20">
        <f>+B39+B40+3600+126</f>
        <v>9398</v>
      </c>
      <c r="C41" s="20">
        <f>+C39+C40+3600+174</f>
        <v>9453</v>
      </c>
      <c r="D41" s="20">
        <f>+D39+D40+3600+166+209</f>
        <v>9661</v>
      </c>
      <c r="E41" s="20">
        <f>E39+E40+3600+666+238</f>
        <v>10197</v>
      </c>
      <c r="F41" s="20">
        <f>F39+F40+3600+747+287</f>
        <v>10434</v>
      </c>
      <c r="G41" s="20">
        <f>G39+G40+3600+1134+442-387</f>
        <v>10587</v>
      </c>
      <c r="H41" s="20">
        <f>H39+H40+3600+1528+432</f>
        <v>11358</v>
      </c>
      <c r="I41" s="20">
        <f>I39+I40+2300+2373+453</f>
        <v>10924</v>
      </c>
      <c r="J41" s="20">
        <f>J39+J40+1000+3626+471</f>
        <v>10910</v>
      </c>
      <c r="K41" s="20">
        <f>K39+K40+1000+3746+496</f>
        <v>11070</v>
      </c>
      <c r="L41" s="20">
        <f>L39+L40+5288+511</f>
        <v>11641</v>
      </c>
      <c r="M41" s="20">
        <f>M40+70+27</f>
        <v>4410</v>
      </c>
      <c r="N41" s="20">
        <f>N39+N40+70+27</f>
        <v>4408</v>
      </c>
      <c r="O41" s="20"/>
      <c r="P41" s="20"/>
      <c r="Q41" s="20"/>
      <c r="S41" s="33"/>
    </row>
    <row r="42" spans="1:19" s="35" customFormat="1">
      <c r="A42" s="34" t="s">
        <v>73</v>
      </c>
      <c r="B42" s="36">
        <f>483716012/1000000*23.38</f>
        <v>11309.280360559998</v>
      </c>
      <c r="C42" s="36">
        <f>489133516/1000000*17.37</f>
        <v>8496.249172920001</v>
      </c>
      <c r="D42" s="36">
        <f>488780072/1000000*18.66</f>
        <v>9120.6361435199997</v>
      </c>
      <c r="E42" s="36">
        <f>488578428/1000000*19.54</f>
        <v>9546.8224831199987</v>
      </c>
      <c r="F42" s="36">
        <f>487734006/1000000*22.98</f>
        <v>11208.12745788</v>
      </c>
      <c r="G42" s="36">
        <f>487394276/1000000*26.36</f>
        <v>12847.71311536</v>
      </c>
      <c r="H42" s="36">
        <f>491679984/1000000*21.9</f>
        <v>10767.7916496</v>
      </c>
      <c r="I42" s="36">
        <f>482614988/1000000*26.15</f>
        <v>12620.381936199999</v>
      </c>
      <c r="J42" s="36">
        <f>485894408/1000000*26.56</f>
        <v>12905.355476479999</v>
      </c>
      <c r="K42" s="36">
        <f>504446340/1000000*22.63</f>
        <v>11415.620674199999</v>
      </c>
      <c r="L42" s="36">
        <f>518617157/1000000*22.56</f>
        <v>11700.003061920001</v>
      </c>
      <c r="M42" s="36">
        <f>522955994/1000000*22.85</f>
        <v>11949.544462900001</v>
      </c>
      <c r="N42" s="36">
        <f>428.447631*21.74</f>
        <v>9314.4514979399992</v>
      </c>
      <c r="O42" s="36"/>
      <c r="P42" s="36"/>
      <c r="Q42" s="36"/>
      <c r="S42" s="33"/>
    </row>
    <row r="43" spans="1:19">
      <c r="B43" s="35"/>
      <c r="C43" s="35"/>
      <c r="D43" s="35"/>
      <c r="E43" s="35"/>
      <c r="F43" s="35"/>
      <c r="G43" s="35"/>
      <c r="H43" s="35"/>
      <c r="I43" s="35"/>
      <c r="J43" s="35"/>
      <c r="K43" s="35"/>
      <c r="L43" s="35"/>
      <c r="M43" s="35"/>
      <c r="N43" s="35"/>
      <c r="O43" s="35"/>
      <c r="P43" s="35"/>
      <c r="Q43" s="35"/>
      <c r="S43" s="33"/>
    </row>
    <row r="44" spans="1:19">
      <c r="A44" s="19" t="s">
        <v>74</v>
      </c>
      <c r="B44" s="28">
        <v>406</v>
      </c>
      <c r="C44" s="28">
        <v>500</v>
      </c>
      <c r="D44" s="28">
        <v>382</v>
      </c>
      <c r="E44" s="28">
        <v>717</v>
      </c>
      <c r="F44" s="28">
        <v>300</v>
      </c>
      <c r="G44" s="28">
        <f>707-387</f>
        <v>320</v>
      </c>
      <c r="H44" s="28">
        <v>964</v>
      </c>
      <c r="I44" s="28">
        <v>546</v>
      </c>
      <c r="J44" s="28">
        <v>636</v>
      </c>
      <c r="K44" s="28">
        <v>811</v>
      </c>
      <c r="L44" s="28">
        <v>757</v>
      </c>
      <c r="M44" s="28">
        <v>1379</v>
      </c>
      <c r="N44" s="28">
        <v>1487</v>
      </c>
      <c r="O44" s="28"/>
      <c r="P44" s="28"/>
      <c r="Q44" s="28"/>
    </row>
    <row r="45" spans="1:19">
      <c r="B45" s="126"/>
      <c r="C45" s="126"/>
      <c r="D45" s="126"/>
      <c r="E45" s="126"/>
      <c r="F45" s="126"/>
      <c r="G45" s="126"/>
      <c r="H45" s="126"/>
      <c r="I45" s="126"/>
      <c r="J45" s="126"/>
    </row>
    <row r="46" spans="1:19">
      <c r="A46" s="14" t="s">
        <v>75</v>
      </c>
      <c r="B46" s="33">
        <f t="shared" ref="B46:N46" si="19">SUM(B12:E12)</f>
        <v>11443</v>
      </c>
      <c r="C46" s="33">
        <f t="shared" si="19"/>
        <v>11779</v>
      </c>
      <c r="D46" s="33">
        <f t="shared" si="19"/>
        <v>11421</v>
      </c>
      <c r="E46" s="33">
        <f t="shared" si="19"/>
        <v>11744</v>
      </c>
      <c r="F46" s="33">
        <f t="shared" si="19"/>
        <v>11809</v>
      </c>
      <c r="G46" s="33">
        <f t="shared" si="19"/>
        <v>11511</v>
      </c>
      <c r="H46" s="33">
        <f t="shared" si="19"/>
        <v>11560</v>
      </c>
      <c r="I46" s="33">
        <f t="shared" si="19"/>
        <v>11302</v>
      </c>
      <c r="J46" s="33">
        <f t="shared" si="19"/>
        <v>9144</v>
      </c>
      <c r="K46" s="33">
        <f t="shared" si="19"/>
        <v>7526</v>
      </c>
      <c r="L46" s="33">
        <f t="shared" si="19"/>
        <v>6116</v>
      </c>
      <c r="M46" s="33">
        <f t="shared" si="19"/>
        <v>4838</v>
      </c>
      <c r="N46" s="33">
        <f t="shared" si="19"/>
        <v>5430</v>
      </c>
      <c r="O46" s="33"/>
      <c r="P46" s="33"/>
      <c r="Q46" s="33"/>
    </row>
    <row r="47" spans="1:19">
      <c r="A47" s="14" t="s">
        <v>76</v>
      </c>
      <c r="B47" s="58">
        <f t="shared" ref="B47:C47" si="20">B27</f>
        <v>3685</v>
      </c>
      <c r="C47" s="58">
        <f t="shared" si="20"/>
        <v>3657</v>
      </c>
      <c r="D47" s="58">
        <f t="shared" ref="D47:E47" si="21">D27</f>
        <v>3580</v>
      </c>
      <c r="E47" s="58">
        <f t="shared" si="21"/>
        <v>3356</v>
      </c>
      <c r="F47" s="58">
        <f t="shared" ref="F47:G47" si="22">F27</f>
        <v>3325</v>
      </c>
      <c r="G47" s="58">
        <f t="shared" si="22"/>
        <v>3274</v>
      </c>
      <c r="H47" s="58">
        <f t="shared" ref="H47:I47" si="23">H27</f>
        <v>3355</v>
      </c>
      <c r="I47" s="58">
        <f t="shared" si="23"/>
        <v>3321</v>
      </c>
      <c r="J47" s="58">
        <f t="shared" ref="J47:N47" si="24">J27</f>
        <v>2760</v>
      </c>
      <c r="K47" s="58">
        <f t="shared" si="24"/>
        <v>2352</v>
      </c>
      <c r="L47" s="58">
        <f t="shared" si="24"/>
        <v>1733</v>
      </c>
      <c r="M47" s="58">
        <f t="shared" si="24"/>
        <v>1420</v>
      </c>
      <c r="N47" s="58">
        <f t="shared" si="24"/>
        <v>1455</v>
      </c>
      <c r="O47" s="58"/>
      <c r="P47" s="58"/>
      <c r="Q47" s="33"/>
    </row>
    <row r="48" spans="1:19">
      <c r="A48" s="14" t="s">
        <v>77</v>
      </c>
      <c r="B48" s="58">
        <f t="shared" ref="B48:G48" si="25">SUM(B37:E37)</f>
        <v>2078</v>
      </c>
      <c r="C48" s="58">
        <f t="shared" si="25"/>
        <v>2186</v>
      </c>
      <c r="D48" s="58">
        <f t="shared" si="25"/>
        <v>2165</v>
      </c>
      <c r="E48" s="58">
        <f t="shared" si="25"/>
        <v>2079</v>
      </c>
      <c r="F48" s="58">
        <f t="shared" si="25"/>
        <v>2023</v>
      </c>
      <c r="G48" s="58">
        <f t="shared" si="25"/>
        <v>1730</v>
      </c>
      <c r="H48" s="58">
        <f t="shared" ref="H48:N48" si="26">SUM(H37:K37)</f>
        <v>1751</v>
      </c>
      <c r="I48" s="58">
        <f t="shared" si="26"/>
        <v>1269</v>
      </c>
      <c r="J48" s="58">
        <f t="shared" si="26"/>
        <v>941</v>
      </c>
      <c r="K48" s="58">
        <f t="shared" si="26"/>
        <v>1006</v>
      </c>
      <c r="L48" s="58">
        <f t="shared" si="26"/>
        <v>650</v>
      </c>
      <c r="M48" s="58">
        <f t="shared" si="26"/>
        <v>829</v>
      </c>
      <c r="N48" s="58">
        <f t="shared" si="26"/>
        <v>1020</v>
      </c>
      <c r="O48" s="58"/>
      <c r="P48" s="58"/>
      <c r="Q48" s="33"/>
    </row>
    <row r="50" spans="1:17" s="37" customFormat="1">
      <c r="A50" s="37" t="s">
        <v>78</v>
      </c>
      <c r="B50" s="37">
        <f t="shared" ref="B50" si="27">+SUM(B39:B40)/B47</f>
        <v>1.5392130257801899</v>
      </c>
      <c r="C50" s="37">
        <f t="shared" ref="C50:D50" si="28">+SUM(C39:C40)/C47</f>
        <v>1.5529122231337162</v>
      </c>
      <c r="D50" s="37">
        <f t="shared" si="28"/>
        <v>1.5882681564245811</v>
      </c>
      <c r="E50" s="37">
        <f t="shared" ref="E50:F50" si="29">+SUM(E39:E40)/E47</f>
        <v>1.6963647199046483</v>
      </c>
      <c r="F50" s="37">
        <f t="shared" si="29"/>
        <v>1.744360902255639</v>
      </c>
      <c r="G50" s="37">
        <f t="shared" ref="G50:H50" si="30">+SUM(G39:G40)/G47</f>
        <v>1.7709224190592547</v>
      </c>
      <c r="H50" s="37">
        <f t="shared" si="30"/>
        <v>1.728166915052161</v>
      </c>
      <c r="I50" s="37">
        <f t="shared" ref="I50:J50" si="31">+SUM(I39:I40)/I47</f>
        <v>1.7458596808190303</v>
      </c>
      <c r="J50" s="37">
        <f t="shared" si="31"/>
        <v>2.1061594202898553</v>
      </c>
      <c r="K50" s="37">
        <f t="shared" ref="K50:N50" si="32">+SUM(K39:K40)/K47</f>
        <v>2.4778911564625852</v>
      </c>
      <c r="L50" s="37">
        <f t="shared" si="32"/>
        <v>3.3710328909405654</v>
      </c>
      <c r="M50" s="37">
        <f t="shared" si="32"/>
        <v>3.0373239436619719</v>
      </c>
      <c r="N50" s="37">
        <f t="shared" si="32"/>
        <v>2.9628865979381445</v>
      </c>
    </row>
    <row r="51" spans="1:17" s="37" customFormat="1">
      <c r="A51" s="37" t="s">
        <v>79</v>
      </c>
      <c r="B51" s="37">
        <f t="shared" ref="B51" si="33">+B41/B47</f>
        <v>2.5503392130257803</v>
      </c>
      <c r="C51" s="37">
        <f t="shared" ref="C51:D51" si="34">+C41/C47</f>
        <v>2.5849056603773586</v>
      </c>
      <c r="D51" s="37">
        <f t="shared" si="34"/>
        <v>2.6986033519553074</v>
      </c>
      <c r="E51" s="37">
        <f t="shared" ref="E51:F51" si="35">+E41/E47</f>
        <v>3.0384386174016687</v>
      </c>
      <c r="F51" s="37">
        <f t="shared" si="35"/>
        <v>3.1380451127819549</v>
      </c>
      <c r="G51" s="37">
        <f t="shared" ref="G51:H51" si="36">+G41/G47</f>
        <v>3.2336591325595601</v>
      </c>
      <c r="H51" s="37">
        <f t="shared" si="36"/>
        <v>3.3853949329359168</v>
      </c>
      <c r="I51" s="37">
        <f t="shared" ref="I51:J51" si="37">+I41/I47</f>
        <v>3.2893706714844928</v>
      </c>
      <c r="J51" s="37">
        <f t="shared" si="37"/>
        <v>3.9528985507246377</v>
      </c>
      <c r="K51" s="37">
        <f t="shared" ref="K51:N51" si="38">+K41/K47</f>
        <v>4.7066326530612246</v>
      </c>
      <c r="L51" s="37">
        <f t="shared" si="38"/>
        <v>6.717253317945759</v>
      </c>
      <c r="M51" s="37">
        <f t="shared" si="38"/>
        <v>3.1056338028169015</v>
      </c>
      <c r="N51" s="37">
        <f t="shared" si="38"/>
        <v>3.0295532646048109</v>
      </c>
    </row>
    <row r="52" spans="1:17" s="37" customFormat="1">
      <c r="A52" s="37" t="s">
        <v>80</v>
      </c>
      <c r="B52" s="37">
        <f t="shared" ref="B52" si="39">+(B41-B44)/B47</f>
        <v>2.4401628222523746</v>
      </c>
      <c r="C52" s="37">
        <f t="shared" ref="C52:D52" si="40">+(C41-C44)/C47</f>
        <v>2.4481815695925624</v>
      </c>
      <c r="D52" s="37">
        <f t="shared" si="40"/>
        <v>2.5918994413407823</v>
      </c>
      <c r="E52" s="37">
        <f t="shared" ref="E52:F52" si="41">+(E41-E44)/E47</f>
        <v>2.8247914183551845</v>
      </c>
      <c r="F52" s="37">
        <f t="shared" si="41"/>
        <v>3.0478195488721807</v>
      </c>
      <c r="G52" s="37">
        <f t="shared" ref="G52:H52" si="42">+(G41-G44)/G47</f>
        <v>3.1359193646915089</v>
      </c>
      <c r="H52" s="37">
        <f t="shared" si="42"/>
        <v>3.0980625931445602</v>
      </c>
      <c r="I52" s="37">
        <f t="shared" ref="I52:J52" si="43">+(I41-I44)/I47</f>
        <v>3.1249623607347186</v>
      </c>
      <c r="J52" s="37">
        <f t="shared" si="43"/>
        <v>3.7224637681159418</v>
      </c>
      <c r="K52" s="37">
        <f t="shared" ref="K52:N52" si="44">+(K41-K44)/K47</f>
        <v>4.3618197278911568</v>
      </c>
      <c r="L52" s="37">
        <f t="shared" si="44"/>
        <v>6.2804385458742065</v>
      </c>
      <c r="M52" s="37">
        <f t="shared" si="44"/>
        <v>2.1345070422535213</v>
      </c>
      <c r="N52" s="37">
        <f t="shared" si="44"/>
        <v>2.0075601374570446</v>
      </c>
    </row>
    <row r="53" spans="1:17" s="38" customFormat="1">
      <c r="A53" s="38" t="s">
        <v>81</v>
      </c>
      <c r="B53" s="38">
        <f t="shared" ref="B53" si="45">+B48/B41</f>
        <v>0.22111087465418175</v>
      </c>
      <c r="C53" s="38">
        <f t="shared" ref="C53:D53" si="46">+C48/C41</f>
        <v>0.23124933883423252</v>
      </c>
      <c r="D53" s="38">
        <f t="shared" si="46"/>
        <v>0.22409688438049891</v>
      </c>
      <c r="E53" s="38">
        <f t="shared" ref="E53:F53" si="47">+E48/E41</f>
        <v>0.20388349514563106</v>
      </c>
      <c r="F53" s="38">
        <f t="shared" si="47"/>
        <v>0.19388537473643858</v>
      </c>
      <c r="G53" s="38">
        <f t="shared" ref="G53:H53" si="48">+G48/G41</f>
        <v>0.16340795315008974</v>
      </c>
      <c r="H53" s="38">
        <f t="shared" si="48"/>
        <v>0.15416446557492516</v>
      </c>
      <c r="I53" s="38">
        <f t="shared" ref="I53:J53" si="49">+I48/I41</f>
        <v>0.11616623947272062</v>
      </c>
      <c r="J53" s="38">
        <f t="shared" si="49"/>
        <v>8.6251145737855181E-2</v>
      </c>
      <c r="K53" s="38">
        <f t="shared" ref="K53:N53" si="50">+K48/K41</f>
        <v>9.0876242095754289E-2</v>
      </c>
      <c r="L53" s="38">
        <f t="shared" si="50"/>
        <v>5.583712739455373E-2</v>
      </c>
      <c r="M53" s="38">
        <f t="shared" si="50"/>
        <v>0.18798185941043083</v>
      </c>
      <c r="N53" s="38">
        <f t="shared" si="50"/>
        <v>0.23139745916515425</v>
      </c>
    </row>
    <row r="54" spans="1:17" s="38" customFormat="1">
      <c r="A54" s="39" t="s">
        <v>82</v>
      </c>
      <c r="B54" s="40"/>
      <c r="C54" s="40"/>
      <c r="D54" s="40"/>
      <c r="E54" s="40"/>
      <c r="F54" s="40"/>
      <c r="G54" s="40"/>
      <c r="H54" s="40"/>
      <c r="I54" s="40"/>
      <c r="J54" s="40"/>
      <c r="K54" s="40"/>
      <c r="L54" s="40"/>
      <c r="M54" s="40"/>
      <c r="N54" s="40"/>
      <c r="O54" s="40"/>
      <c r="P54" s="40"/>
      <c r="Q54" s="40"/>
    </row>
    <row r="55" spans="1:17" s="38" customFormat="1">
      <c r="A55" s="38" t="s">
        <v>83</v>
      </c>
      <c r="B55" s="41">
        <f t="shared" ref="B55" si="51">IF(B42=0,IF(B54="","","*"&amp;TEXT(B54,"0.0x")),(B41+B42-B44)/B47)</f>
        <v>5.5091669906540019</v>
      </c>
      <c r="C55" s="41">
        <f t="shared" ref="C55:D55" si="52">IF(C42=0,IF(C54="","","*"&amp;TEXT(C54,"0.0x")),(C41+C42-C44)/C47)</f>
        <v>4.7714654560896914</v>
      </c>
      <c r="D55" s="41">
        <f t="shared" si="52"/>
        <v>5.1395631685810059</v>
      </c>
      <c r="E55" s="41">
        <f t="shared" ref="E55:F55" si="53">IF(E42=0,IF(E54="","","*"&amp;TEXT(E54,"0.0x")),(E41+E42-E44)/E47)</f>
        <v>5.6694941844815254</v>
      </c>
      <c r="F55" s="41">
        <f t="shared" si="53"/>
        <v>6.4186849497383456</v>
      </c>
      <c r="G55" s="41">
        <f t="shared" ref="G55:H55" si="54">IF(G42=0,IF(G54="","","*"&amp;TEXT(G54,"0.0x")),(G41+G42-G44)/G47)</f>
        <v>7.0600834194746485</v>
      </c>
      <c r="H55" s="41">
        <f t="shared" si="54"/>
        <v>6.3075384946646791</v>
      </c>
      <c r="I55" s="41">
        <f t="shared" ref="I55:J55" si="55">IF(I42=0,IF(I54="","","*"&amp;TEXT(I54,"0.0x")),(I41+I42-I44)/I47)</f>
        <v>6.9251375899427883</v>
      </c>
      <c r="J55" s="41">
        <f t="shared" si="55"/>
        <v>8.398317201623188</v>
      </c>
      <c r="K55" s="41">
        <f t="shared" ref="K55:Q55" si="56">IF(K42=0,IF(K54="","","*"&amp;TEXT(K54,"0.0x")),(K41+K42-K44)/K47)</f>
        <v>9.2153999465136049</v>
      </c>
      <c r="L55" s="41">
        <f t="shared" si="56"/>
        <v>13.031738639307559</v>
      </c>
      <c r="M55" s="41">
        <f t="shared" si="56"/>
        <v>10.549679199225354</v>
      </c>
      <c r="N55" s="41">
        <f t="shared" si="56"/>
        <v>8.4092450157663219</v>
      </c>
      <c r="O55" s="41"/>
      <c r="P55" s="41"/>
      <c r="Q55" s="41" t="str">
        <f t="shared" si="56"/>
        <v/>
      </c>
    </row>
    <row r="57" spans="1:17" ht="80.25" customHeight="1">
      <c r="A57" s="43" t="s">
        <v>84</v>
      </c>
      <c r="B57" s="44" t="s">
        <v>301</v>
      </c>
      <c r="C57" s="44" t="s">
        <v>290</v>
      </c>
      <c r="D57" s="44" t="s">
        <v>290</v>
      </c>
      <c r="E57" s="44" t="s">
        <v>290</v>
      </c>
      <c r="F57" s="44" t="s">
        <v>301</v>
      </c>
      <c r="G57" s="44" t="s">
        <v>528</v>
      </c>
      <c r="H57" s="44" t="s">
        <v>290</v>
      </c>
      <c r="I57" s="44" t="s">
        <v>290</v>
      </c>
      <c r="J57" s="44" t="s">
        <v>301</v>
      </c>
      <c r="K57" s="44"/>
      <c r="L57" s="44"/>
      <c r="M57" s="44"/>
      <c r="N57" s="44"/>
      <c r="O57" s="44"/>
      <c r="P57" s="44"/>
      <c r="Q57" s="44"/>
    </row>
    <row r="58" spans="1:17">
      <c r="A58" s="45"/>
      <c r="B58" s="42"/>
      <c r="C58" s="42"/>
      <c r="D58" s="42"/>
      <c r="E58" s="42"/>
      <c r="F58" s="42"/>
      <c r="G58" s="42"/>
      <c r="H58" s="42"/>
      <c r="I58" s="42"/>
      <c r="J58" s="42"/>
      <c r="K58" s="42"/>
      <c r="L58" s="42"/>
      <c r="M58" s="42"/>
      <c r="N58" s="42"/>
      <c r="O58" s="42"/>
      <c r="P58" s="42"/>
    </row>
    <row r="59" spans="1:17">
      <c r="A59" s="45"/>
    </row>
  </sheetData>
  <pageMargins left="0.7" right="0.7" top="0.75" bottom="0.75" header="0.3" footer="0.3"/>
  <pageSetup orientation="portrait" r:id="rId1"/>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2:W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22" width="10.6640625" style="14" customWidth="1"/>
    <col min="23" max="16384" width="9.109375" style="14"/>
  </cols>
  <sheetData>
    <row r="2" spans="1:22">
      <c r="A2" s="13" t="s">
        <v>44</v>
      </c>
      <c r="B2" s="14" t="s">
        <v>88</v>
      </c>
    </row>
    <row r="3" spans="1:22" s="16" customFormat="1">
      <c r="A3" s="15" t="s">
        <v>45</v>
      </c>
      <c r="B3" s="16" t="s">
        <v>89</v>
      </c>
    </row>
    <row r="4" spans="1:22">
      <c r="A4" s="13" t="s">
        <v>2</v>
      </c>
      <c r="B4" s="14" t="s">
        <v>493</v>
      </c>
    </row>
    <row r="5" spans="1:22">
      <c r="A5" s="13" t="s">
        <v>46</v>
      </c>
    </row>
    <row r="6" spans="1:22">
      <c r="A6" s="13" t="s">
        <v>47</v>
      </c>
      <c r="B6" s="14">
        <v>3</v>
      </c>
    </row>
    <row r="7" spans="1:22">
      <c r="A7" s="13" t="s">
        <v>48</v>
      </c>
      <c r="B7" s="14" t="s">
        <v>467</v>
      </c>
    </row>
    <row r="8" spans="1:22">
      <c r="A8" s="13" t="s">
        <v>347</v>
      </c>
      <c r="B8" s="14" t="s">
        <v>351</v>
      </c>
    </row>
    <row r="9" spans="1:22">
      <c r="A9" s="17"/>
    </row>
    <row r="10" spans="1:22">
      <c r="A10" s="17" t="s">
        <v>49</v>
      </c>
      <c r="B10" s="18">
        <v>44104</v>
      </c>
      <c r="C10" s="18">
        <v>44012</v>
      </c>
      <c r="D10" s="18">
        <v>43921</v>
      </c>
      <c r="E10" s="18">
        <v>43830</v>
      </c>
      <c r="F10" s="18">
        <v>43738</v>
      </c>
      <c r="G10" s="18">
        <v>43646</v>
      </c>
      <c r="H10" s="18">
        <v>43555</v>
      </c>
      <c r="I10" s="18">
        <v>43465</v>
      </c>
      <c r="J10" s="18">
        <v>43373</v>
      </c>
      <c r="K10" s="18">
        <v>43281</v>
      </c>
      <c r="L10" s="18">
        <v>43190</v>
      </c>
      <c r="M10" s="18">
        <v>43100</v>
      </c>
      <c r="N10" s="18">
        <v>43008</v>
      </c>
      <c r="O10" s="18">
        <v>42916</v>
      </c>
      <c r="P10" s="18">
        <v>42825</v>
      </c>
      <c r="Q10" s="18">
        <v>42735</v>
      </c>
      <c r="R10" s="18">
        <v>42643</v>
      </c>
      <c r="S10" s="18">
        <v>42551</v>
      </c>
      <c r="T10" s="18">
        <v>42460</v>
      </c>
      <c r="U10" s="18">
        <v>42369</v>
      </c>
      <c r="V10" s="18">
        <v>42277</v>
      </c>
    </row>
    <row r="12" spans="1:22">
      <c r="A12" s="19" t="s">
        <v>50</v>
      </c>
      <c r="B12" s="20">
        <v>173.29</v>
      </c>
      <c r="C12" s="20">
        <v>145.54300000000001</v>
      </c>
      <c r="D12" s="20">
        <v>180.357</v>
      </c>
      <c r="E12" s="20">
        <v>192.55199999999996</v>
      </c>
      <c r="F12" s="20">
        <v>160.084</v>
      </c>
      <c r="G12" s="20">
        <v>172.88300000000001</v>
      </c>
      <c r="H12" s="20">
        <v>206.16500000000002</v>
      </c>
      <c r="I12" s="20">
        <v>180.447</v>
      </c>
      <c r="J12" s="20">
        <v>176.14400000000003</v>
      </c>
      <c r="K12" s="20">
        <v>170.37200000000001</v>
      </c>
      <c r="L12" s="20">
        <v>214.49600000000001</v>
      </c>
      <c r="M12" s="20">
        <v>188.471</v>
      </c>
      <c r="N12" s="20">
        <v>194.904</v>
      </c>
      <c r="O12" s="20">
        <v>231.15700000000001</v>
      </c>
      <c r="P12" s="20">
        <v>174.38800000000001</v>
      </c>
      <c r="Q12" s="20">
        <v>165.13300000000001</v>
      </c>
      <c r="R12" s="20">
        <v>176.83</v>
      </c>
      <c r="S12" s="20">
        <v>149.67099999999999</v>
      </c>
      <c r="T12" s="20">
        <v>166.489</v>
      </c>
      <c r="U12" s="20">
        <v>185.69699999999997</v>
      </c>
      <c r="V12" s="20">
        <v>184.48400000000001</v>
      </c>
    </row>
    <row r="13" spans="1:22" s="21" customFormat="1">
      <c r="A13" s="21" t="s">
        <v>51</v>
      </c>
      <c r="B13" s="21">
        <f t="shared" ref="B13:R13" si="0">+B12/F12-1</f>
        <v>8.249419054996121E-2</v>
      </c>
      <c r="C13" s="21">
        <f t="shared" si="0"/>
        <v>-0.15814163335897691</v>
      </c>
      <c r="D13" s="21">
        <f t="shared" si="0"/>
        <v>-0.12518128683336172</v>
      </c>
      <c r="E13" s="21">
        <f t="shared" si="0"/>
        <v>6.7083409532992855E-2</v>
      </c>
      <c r="F13" s="21">
        <f t="shared" si="0"/>
        <v>-9.1175401943864309E-2</v>
      </c>
      <c r="G13" s="21">
        <f t="shared" si="0"/>
        <v>1.4738337285469472E-2</v>
      </c>
      <c r="H13" s="21">
        <f t="shared" si="0"/>
        <v>-3.8839885126062956E-2</v>
      </c>
      <c r="I13" s="21">
        <f t="shared" si="0"/>
        <v>-4.2574189132545626E-2</v>
      </c>
      <c r="J13" s="21">
        <f t="shared" si="0"/>
        <v>-9.6252514058202787E-2</v>
      </c>
      <c r="K13" s="21">
        <f t="shared" si="0"/>
        <v>-0.26295980653841322</v>
      </c>
      <c r="L13" s="21">
        <f t="shared" si="0"/>
        <v>0.22999288941899665</v>
      </c>
      <c r="M13" s="21">
        <f t="shared" si="0"/>
        <v>0.14132850490210913</v>
      </c>
      <c r="N13" s="21">
        <f t="shared" si="0"/>
        <v>0.10221116326415181</v>
      </c>
      <c r="O13" s="21">
        <f t="shared" si="0"/>
        <v>0.54443412551529713</v>
      </c>
      <c r="P13" s="21">
        <f t="shared" si="0"/>
        <v>4.74445759179285E-2</v>
      </c>
      <c r="Q13" s="21">
        <f t="shared" si="0"/>
        <v>-0.11073953806469661</v>
      </c>
      <c r="R13" s="21">
        <f t="shared" si="0"/>
        <v>-4.1488692786366244E-2</v>
      </c>
    </row>
    <row r="14" spans="1:22"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t="s">
        <v>3</v>
      </c>
      <c r="P14" s="23" t="s">
        <v>3</v>
      </c>
      <c r="Q14" s="23" t="s">
        <v>3</v>
      </c>
      <c r="R14" s="23" t="s">
        <v>3</v>
      </c>
      <c r="S14" s="22"/>
      <c r="T14" s="22"/>
      <c r="U14" s="22"/>
      <c r="V14" s="22"/>
    </row>
    <row r="16" spans="1:22" s="17" customFormat="1">
      <c r="A16" s="25" t="s">
        <v>53</v>
      </c>
      <c r="B16" s="26">
        <v>79.518000000000001</v>
      </c>
      <c r="C16" s="26">
        <v>61.436</v>
      </c>
      <c r="D16" s="26">
        <v>62.470999999999997</v>
      </c>
      <c r="E16" s="26">
        <v>55.179999999999851</v>
      </c>
      <c r="F16" s="26">
        <v>51.926000000000002</v>
      </c>
      <c r="G16" s="26">
        <v>47.332000000000001</v>
      </c>
      <c r="H16" s="26">
        <v>57.244999999999997</v>
      </c>
      <c r="I16" s="26">
        <v>65.417000000000002</v>
      </c>
      <c r="J16" s="26">
        <v>58.686</v>
      </c>
      <c r="K16" s="26">
        <v>54.171999999999997</v>
      </c>
      <c r="L16" s="26">
        <v>82.319000000000003</v>
      </c>
      <c r="M16" s="26">
        <v>59.018000000000001</v>
      </c>
      <c r="N16" s="26">
        <v>72.387</v>
      </c>
      <c r="O16" s="26">
        <v>64.013999999999996</v>
      </c>
      <c r="P16" s="26">
        <v>76.903999999999996</v>
      </c>
      <c r="Q16" s="26">
        <v>64.760000000000005</v>
      </c>
      <c r="R16" s="26">
        <v>66.3</v>
      </c>
      <c r="S16" s="26">
        <v>57.095999999999997</v>
      </c>
      <c r="T16" s="26">
        <v>49.912999999999997</v>
      </c>
      <c r="U16" s="26">
        <v>71.058999999999997</v>
      </c>
      <c r="V16" s="26">
        <v>64.921999999999997</v>
      </c>
    </row>
    <row r="17" spans="1:22" s="21" customFormat="1">
      <c r="A17" s="21" t="s">
        <v>54</v>
      </c>
      <c r="B17" s="21">
        <f t="shared" ref="B17:C17" si="1">+B16/B12</f>
        <v>0.45887241041029492</v>
      </c>
      <c r="C17" s="21">
        <f t="shared" si="1"/>
        <v>0.4221158008286211</v>
      </c>
      <c r="D17" s="21">
        <f t="shared" ref="D17:E17" si="2">+D16/D12</f>
        <v>0.34637413574188969</v>
      </c>
      <c r="E17" s="21">
        <f t="shared" si="2"/>
        <v>0.28657193900868266</v>
      </c>
      <c r="F17" s="21">
        <f t="shared" ref="F17:G17" si="3">+F16/F12</f>
        <v>0.32436720721621148</v>
      </c>
      <c r="G17" s="21">
        <f t="shared" si="3"/>
        <v>0.27378053365570937</v>
      </c>
      <c r="H17" s="21">
        <f t="shared" ref="H17:I17" si="4">+H16/H12</f>
        <v>0.27766594717823101</v>
      </c>
      <c r="I17" s="21">
        <f t="shared" si="4"/>
        <v>0.36252750114992216</v>
      </c>
      <c r="J17" s="21">
        <f t="shared" ref="J17:O17" si="5">+J16/J12</f>
        <v>0.33317058770097185</v>
      </c>
      <c r="K17" s="21">
        <f t="shared" si="5"/>
        <v>0.31796304557086841</v>
      </c>
      <c r="L17" s="21">
        <f t="shared" si="5"/>
        <v>0.38377871848426076</v>
      </c>
      <c r="M17" s="21">
        <f t="shared" si="5"/>
        <v>0.31314101373686137</v>
      </c>
      <c r="N17" s="21">
        <f t="shared" si="5"/>
        <v>0.37139822681935725</v>
      </c>
      <c r="O17" s="21">
        <f t="shared" si="5"/>
        <v>0.27692866752899542</v>
      </c>
      <c r="P17" s="21">
        <f t="shared" ref="P17:V17" si="6">+P16/P12</f>
        <v>0.44099364635181315</v>
      </c>
      <c r="Q17" s="21">
        <f t="shared" si="6"/>
        <v>0.39216873671525376</v>
      </c>
      <c r="R17" s="21">
        <f t="shared" si="6"/>
        <v>0.37493637957360171</v>
      </c>
      <c r="S17" s="21">
        <f t="shared" si="6"/>
        <v>0.38147670557422614</v>
      </c>
      <c r="T17" s="21">
        <f t="shared" si="6"/>
        <v>0.29979758422478359</v>
      </c>
      <c r="U17" s="21">
        <f t="shared" si="6"/>
        <v>0.38266100152398802</v>
      </c>
      <c r="V17" s="21">
        <f t="shared" si="6"/>
        <v>0.35191127685869772</v>
      </c>
    </row>
    <row r="18" spans="1:22" s="24" customFormat="1"/>
    <row r="19" spans="1:22"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row>
    <row r="20" spans="1:22"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row>
    <row r="21" spans="1:22"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row>
    <row r="22" spans="1:22" s="17" customFormat="1">
      <c r="A22" s="17" t="s">
        <v>58</v>
      </c>
      <c r="B22" s="27">
        <f t="shared" ref="B22:C22" si="7">SUM(B16,B19:B21)</f>
        <v>79.518000000000001</v>
      </c>
      <c r="C22" s="27">
        <f t="shared" si="7"/>
        <v>61.436</v>
      </c>
      <c r="D22" s="27">
        <f t="shared" ref="D22:E22" si="8">SUM(D16,D19:D21)</f>
        <v>62.470999999999997</v>
      </c>
      <c r="E22" s="27">
        <f t="shared" si="8"/>
        <v>55.179999999999851</v>
      </c>
      <c r="F22" s="27">
        <f t="shared" ref="F22:G22" si="9">SUM(F16,F19:F21)</f>
        <v>51.926000000000002</v>
      </c>
      <c r="G22" s="27">
        <f t="shared" si="9"/>
        <v>47.332000000000001</v>
      </c>
      <c r="H22" s="27">
        <f t="shared" ref="H22:I22" si="10">SUM(H16,H19:H21)</f>
        <v>57.244999999999997</v>
      </c>
      <c r="I22" s="27">
        <f t="shared" si="10"/>
        <v>65.417000000000002</v>
      </c>
      <c r="J22" s="27">
        <f t="shared" ref="J22:O22" si="11">SUM(J16,J19:J21)</f>
        <v>58.686</v>
      </c>
      <c r="K22" s="27">
        <f t="shared" si="11"/>
        <v>54.171999999999997</v>
      </c>
      <c r="L22" s="27">
        <f t="shared" si="11"/>
        <v>82.319000000000003</v>
      </c>
      <c r="M22" s="27">
        <f t="shared" si="11"/>
        <v>59.018000000000001</v>
      </c>
      <c r="N22" s="27">
        <f t="shared" si="11"/>
        <v>72.387</v>
      </c>
      <c r="O22" s="27">
        <f t="shared" si="11"/>
        <v>64.013999999999996</v>
      </c>
      <c r="P22" s="27">
        <f t="shared" ref="P22:V22" si="12">SUM(P16,P19:P21)</f>
        <v>76.903999999999996</v>
      </c>
      <c r="Q22" s="27">
        <f t="shared" si="12"/>
        <v>64.760000000000005</v>
      </c>
      <c r="R22" s="27">
        <f t="shared" si="12"/>
        <v>66.3</v>
      </c>
      <c r="S22" s="27">
        <f t="shared" si="12"/>
        <v>57.095999999999997</v>
      </c>
      <c r="T22" s="27">
        <f t="shared" si="12"/>
        <v>49.912999999999997</v>
      </c>
      <c r="U22" s="27">
        <f t="shared" si="12"/>
        <v>71.058999999999997</v>
      </c>
      <c r="V22" s="27">
        <f t="shared" si="12"/>
        <v>64.921999999999997</v>
      </c>
    </row>
    <row r="23" spans="1:22" s="17" customFormat="1">
      <c r="B23" s="21"/>
      <c r="C23" s="21"/>
      <c r="D23" s="21"/>
      <c r="E23" s="27"/>
      <c r="F23" s="27"/>
      <c r="G23" s="27"/>
      <c r="H23" s="27"/>
      <c r="I23" s="27"/>
      <c r="J23" s="27"/>
      <c r="K23" s="27"/>
      <c r="L23" s="27"/>
      <c r="M23" s="27"/>
      <c r="N23" s="27"/>
      <c r="O23" s="27"/>
      <c r="P23" s="27"/>
      <c r="Q23" s="27"/>
      <c r="R23" s="27"/>
      <c r="S23" s="27"/>
      <c r="T23" s="27"/>
      <c r="U23" s="27"/>
      <c r="V23" s="27"/>
    </row>
    <row r="24" spans="1:22" s="17" customFormat="1">
      <c r="A24" s="17" t="s">
        <v>59</v>
      </c>
      <c r="B24" s="27">
        <f t="shared" ref="B24:S24" si="13">SUM(B22:E22)</f>
        <v>258.60499999999985</v>
      </c>
      <c r="C24" s="27">
        <f t="shared" si="13"/>
        <v>231.01299999999986</v>
      </c>
      <c r="D24" s="27">
        <f t="shared" si="13"/>
        <v>216.90899999999982</v>
      </c>
      <c r="E24" s="27">
        <f t="shared" si="13"/>
        <v>211.68299999999985</v>
      </c>
      <c r="F24" s="27">
        <f t="shared" si="13"/>
        <v>221.92000000000002</v>
      </c>
      <c r="G24" s="27">
        <f t="shared" si="13"/>
        <v>228.68</v>
      </c>
      <c r="H24" s="27">
        <f t="shared" si="13"/>
        <v>235.52</v>
      </c>
      <c r="I24" s="27">
        <f t="shared" si="13"/>
        <v>260.59399999999999</v>
      </c>
      <c r="J24" s="27">
        <f t="shared" si="13"/>
        <v>254.19500000000002</v>
      </c>
      <c r="K24" s="27">
        <f t="shared" si="13"/>
        <v>267.89599999999996</v>
      </c>
      <c r="L24" s="27">
        <f t="shared" si="13"/>
        <v>277.738</v>
      </c>
      <c r="M24" s="27">
        <f t="shared" si="13"/>
        <v>272.32299999999998</v>
      </c>
      <c r="N24" s="27">
        <f t="shared" si="13"/>
        <v>278.065</v>
      </c>
      <c r="O24" s="27">
        <f t="shared" si="13"/>
        <v>271.97800000000001</v>
      </c>
      <c r="P24" s="27">
        <f t="shared" si="13"/>
        <v>265.06</v>
      </c>
      <c r="Q24" s="27">
        <f t="shared" si="13"/>
        <v>238.06900000000002</v>
      </c>
      <c r="R24" s="27">
        <f t="shared" si="13"/>
        <v>244.36799999999997</v>
      </c>
      <c r="S24" s="27">
        <f t="shared" si="13"/>
        <v>242.98999999999998</v>
      </c>
      <c r="T24" s="27"/>
      <c r="U24" s="27"/>
      <c r="V24" s="27"/>
    </row>
    <row r="25" spans="1:22" s="24" customFormat="1">
      <c r="A25" s="19" t="s">
        <v>60</v>
      </c>
      <c r="B25" s="28">
        <f>325-B24</f>
        <v>66.395000000000152</v>
      </c>
      <c r="C25" s="28">
        <f>309.896823-C24</f>
        <v>78.88382300000012</v>
      </c>
      <c r="D25" s="28">
        <f>286.88461-D24</f>
        <v>69.975610000000188</v>
      </c>
      <c r="E25" s="28">
        <f>276.5-E24</f>
        <v>64.817000000000149</v>
      </c>
      <c r="F25" s="28">
        <f>258.761823-F24</f>
        <v>36.841822999999977</v>
      </c>
      <c r="G25" s="28">
        <f>263.800104-G24</f>
        <v>35.120103999999969</v>
      </c>
      <c r="H25" s="28">
        <f>269.110222-H24</f>
        <v>33.590222000000011</v>
      </c>
      <c r="I25" s="28">
        <f>262.498219-I24</f>
        <v>1.9042190000000119</v>
      </c>
      <c r="J25" s="28">
        <f>258.028814-J24</f>
        <v>3.8338139999999896</v>
      </c>
      <c r="K25" s="28">
        <f>273.8-K24</f>
        <v>5.9040000000000532</v>
      </c>
      <c r="L25" s="28">
        <f>287.7-L24</f>
        <v>9.9619999999999891</v>
      </c>
      <c r="M25" s="28">
        <f>282.6-M24</f>
        <v>10.277000000000044</v>
      </c>
      <c r="N25" s="28">
        <v>0</v>
      </c>
      <c r="O25" s="28">
        <v>0</v>
      </c>
      <c r="P25" s="28">
        <v>0</v>
      </c>
      <c r="Q25" s="28">
        <v>0</v>
      </c>
      <c r="R25" s="28">
        <v>0</v>
      </c>
      <c r="S25" s="28">
        <v>0</v>
      </c>
      <c r="T25" s="28"/>
      <c r="U25" s="28"/>
      <c r="V25" s="28"/>
    </row>
    <row r="26" spans="1:22" s="24" customFormat="1">
      <c r="A26" s="19" t="s">
        <v>61</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v>0</v>
      </c>
      <c r="S26" s="29">
        <v>0</v>
      </c>
      <c r="T26" s="30"/>
      <c r="U26" s="30"/>
      <c r="V26" s="30"/>
    </row>
    <row r="27" spans="1:22" s="32" customFormat="1">
      <c r="A27" s="17" t="s">
        <v>62</v>
      </c>
      <c r="B27" s="27">
        <f t="shared" ref="B27" si="14">SUM(B24:B26)</f>
        <v>325</v>
      </c>
      <c r="C27" s="27">
        <f t="shared" ref="C27:D27" si="15">SUM(C24:C26)</f>
        <v>309.89682299999998</v>
      </c>
      <c r="D27" s="27">
        <f t="shared" si="15"/>
        <v>286.88461000000001</v>
      </c>
      <c r="E27" s="27">
        <f t="shared" ref="E27:F27" si="16">SUM(E24:E26)</f>
        <v>276.5</v>
      </c>
      <c r="F27" s="27">
        <f t="shared" si="16"/>
        <v>258.76182299999999</v>
      </c>
      <c r="G27" s="27">
        <f t="shared" ref="G27:H27" si="17">SUM(G24:G26)</f>
        <v>263.80010399999998</v>
      </c>
      <c r="H27" s="27">
        <f t="shared" si="17"/>
        <v>269.11022200000002</v>
      </c>
      <c r="I27" s="27">
        <f t="shared" ref="I27:K27" si="18">SUM(I24:I26)</f>
        <v>262.49821900000001</v>
      </c>
      <c r="J27" s="27">
        <f t="shared" si="18"/>
        <v>258.02881400000001</v>
      </c>
      <c r="K27" s="27">
        <f t="shared" si="18"/>
        <v>273.8</v>
      </c>
      <c r="L27" s="27">
        <f t="shared" ref="L27:S27" si="19">SUM(L24:L26)</f>
        <v>287.7</v>
      </c>
      <c r="M27" s="27">
        <f t="shared" si="19"/>
        <v>282.60000000000002</v>
      </c>
      <c r="N27" s="27">
        <f t="shared" si="19"/>
        <v>278.065</v>
      </c>
      <c r="O27" s="27">
        <f t="shared" si="19"/>
        <v>271.97800000000001</v>
      </c>
      <c r="P27" s="27">
        <f t="shared" si="19"/>
        <v>265.06</v>
      </c>
      <c r="Q27" s="27">
        <f t="shared" si="19"/>
        <v>238.06900000000002</v>
      </c>
      <c r="R27" s="27">
        <f t="shared" si="19"/>
        <v>244.36799999999997</v>
      </c>
      <c r="S27" s="27">
        <f t="shared" si="19"/>
        <v>242.98999999999998</v>
      </c>
      <c r="T27" s="31"/>
      <c r="U27" s="31"/>
      <c r="V27" s="31"/>
    </row>
    <row r="28" spans="1:22" s="24" customFormat="1"/>
    <row r="29" spans="1:22" s="17" customFormat="1">
      <c r="A29" s="17" t="s">
        <v>58</v>
      </c>
      <c r="B29" s="27">
        <f t="shared" ref="B29:C29" si="20">B22</f>
        <v>79.518000000000001</v>
      </c>
      <c r="C29" s="27">
        <f t="shared" si="20"/>
        <v>61.436</v>
      </c>
      <c r="D29" s="27">
        <f t="shared" ref="D29:F29" si="21">D22</f>
        <v>62.470999999999997</v>
      </c>
      <c r="E29" s="27">
        <f t="shared" si="21"/>
        <v>55.179999999999851</v>
      </c>
      <c r="F29" s="27">
        <f t="shared" si="21"/>
        <v>51.926000000000002</v>
      </c>
      <c r="G29" s="27">
        <f t="shared" ref="G29:H29" si="22">G22</f>
        <v>47.332000000000001</v>
      </c>
      <c r="H29" s="27">
        <f t="shared" si="22"/>
        <v>57.244999999999997</v>
      </c>
      <c r="I29" s="27">
        <f t="shared" ref="I29:N29" si="23">I22</f>
        <v>65.417000000000002</v>
      </c>
      <c r="J29" s="27">
        <f t="shared" si="23"/>
        <v>58.686</v>
      </c>
      <c r="K29" s="27">
        <f t="shared" si="23"/>
        <v>54.171999999999997</v>
      </c>
      <c r="L29" s="27">
        <f t="shared" si="23"/>
        <v>82.319000000000003</v>
      </c>
      <c r="M29" s="27">
        <f t="shared" si="23"/>
        <v>59.018000000000001</v>
      </c>
      <c r="N29" s="27">
        <f t="shared" si="23"/>
        <v>72.387</v>
      </c>
      <c r="O29" s="27">
        <f t="shared" ref="O29:V29" si="24">O22</f>
        <v>64.013999999999996</v>
      </c>
      <c r="P29" s="27">
        <f t="shared" si="24"/>
        <v>76.903999999999996</v>
      </c>
      <c r="Q29" s="27">
        <f t="shared" si="24"/>
        <v>64.760000000000005</v>
      </c>
      <c r="R29" s="27">
        <f t="shared" si="24"/>
        <v>66.3</v>
      </c>
      <c r="S29" s="27">
        <f t="shared" si="24"/>
        <v>57.095999999999997</v>
      </c>
      <c r="T29" s="27">
        <f t="shared" si="24"/>
        <v>49.912999999999997</v>
      </c>
      <c r="U29" s="27">
        <f t="shared" si="24"/>
        <v>71.058999999999997</v>
      </c>
      <c r="V29" s="27">
        <f t="shared" si="24"/>
        <v>64.921999999999997</v>
      </c>
    </row>
    <row r="30" spans="1:22" s="33" customFormat="1">
      <c r="A30" s="20" t="s">
        <v>63</v>
      </c>
      <c r="B30" s="20">
        <f>-31.216+2.289</f>
        <v>-28.927</v>
      </c>
      <c r="C30" s="20">
        <f>-40.416+2.293</f>
        <v>-38.122999999999998</v>
      </c>
      <c r="D30" s="20">
        <f>-46.143+2.302</f>
        <v>-43.841000000000001</v>
      </c>
      <c r="E30" s="20">
        <f>-133.05-19.414+10.298+1.114-F30-G30-H30</f>
        <v>-10.486999999999995</v>
      </c>
      <c r="F30" s="20">
        <f>-50.93+2.306</f>
        <v>-48.624000000000002</v>
      </c>
      <c r="G30" s="20">
        <f>-42.051+2.348</f>
        <v>-39.703000000000003</v>
      </c>
      <c r="H30" s="20">
        <f>-44.578+2.34</f>
        <v>-42.238</v>
      </c>
      <c r="I30" s="20">
        <f>-104.948-J30-K30-L30</f>
        <v>-52.348999999999997</v>
      </c>
      <c r="J30" s="20">
        <f>-22.901+2.324</f>
        <v>-20.576999999999998</v>
      </c>
      <c r="K30" s="20">
        <f>-25.715+2.672</f>
        <v>-23.042999999999999</v>
      </c>
      <c r="L30" s="20">
        <f>-11.35+2.371</f>
        <v>-8.9789999999999992</v>
      </c>
      <c r="M30" s="20">
        <f>-92.862-N30-O30-P30</f>
        <v>-25.296000000000003</v>
      </c>
      <c r="N30" s="20">
        <f>-22.944+2.341</f>
        <v>-20.602999999999998</v>
      </c>
      <c r="O30" s="20">
        <f>-24.888+3.272</f>
        <v>-21.616000000000003</v>
      </c>
      <c r="P30" s="20">
        <f>-27.636+2.289</f>
        <v>-25.346999999999998</v>
      </c>
      <c r="Q30" s="20"/>
      <c r="R30" s="20"/>
      <c r="S30" s="20"/>
      <c r="T30" s="20"/>
      <c r="U30" s="20"/>
      <c r="V30" s="20"/>
    </row>
    <row r="31" spans="1:22" s="33" customFormat="1">
      <c r="A31" s="20" t="s">
        <v>64</v>
      </c>
      <c r="B31" s="20">
        <f>12.036-13.188</f>
        <v>-1.152000000000001</v>
      </c>
      <c r="C31" s="20">
        <f>11.299-10.692</f>
        <v>0.60699999999999932</v>
      </c>
      <c r="D31" s="20">
        <f>6.92-5.168</f>
        <v>1.7519999999999998</v>
      </c>
      <c r="E31" s="20">
        <f>31.938+6.328-37.57-6.666-F31-G31-H31</f>
        <v>2.2819999999999991</v>
      </c>
      <c r="F31" s="20">
        <f>13.703-15.191</f>
        <v>-1.4880000000000013</v>
      </c>
      <c r="G31" s="20">
        <f>5.618-11.711</f>
        <v>-6.093</v>
      </c>
      <c r="H31" s="20">
        <f>5.17-5.841</f>
        <v>-0.67100000000000026</v>
      </c>
      <c r="I31" s="20">
        <f>-5.909-J31-K31-L31</f>
        <v>1.5989999999999984</v>
      </c>
      <c r="J31" s="20">
        <f>7.053-9.594</f>
        <v>-2.5409999999999995</v>
      </c>
      <c r="K31" s="20">
        <f>-15.722+11.304</f>
        <v>-4.4179999999999993</v>
      </c>
      <c r="L31" s="20">
        <f>17.707-18.256</f>
        <v>-0.54899999999999949</v>
      </c>
      <c r="M31" s="20">
        <f>-1.278-N31-O31-P31</f>
        <v>0.31899999999999984</v>
      </c>
      <c r="N31" s="20">
        <f>0.277-0.792</f>
        <v>-0.51500000000000001</v>
      </c>
      <c r="O31" s="20">
        <f>8.002-8.489</f>
        <v>-0.4870000000000001</v>
      </c>
      <c r="P31" s="20">
        <f>-6.071+5.476</f>
        <v>-0.59499999999999975</v>
      </c>
      <c r="Q31" s="20"/>
      <c r="R31" s="20"/>
      <c r="S31" s="20"/>
      <c r="T31" s="20"/>
      <c r="U31" s="20"/>
      <c r="V31" s="20"/>
    </row>
    <row r="32" spans="1:22" s="33" customFormat="1">
      <c r="A32" s="20" t="s">
        <v>65</v>
      </c>
      <c r="B32" s="20">
        <f>6.426-16.847-1.989+4.668+2.431+29.966-1.992</f>
        <v>22.663</v>
      </c>
      <c r="C32" s="20">
        <f>-21.7+1.307+0.072-0.105-1.448+6.661+8.218</f>
        <v>-6.9950000000000028</v>
      </c>
      <c r="D32" s="20">
        <f>1.214+3.473+4.355+0.55-19.43-2.233</f>
        <v>-12.071</v>
      </c>
      <c r="E32" s="20">
        <v>-45.942999999999998</v>
      </c>
      <c r="F32" s="20">
        <f>1.009-6.376-2.11-8.733+0.797-1.814</f>
        <v>-17.227</v>
      </c>
      <c r="G32" s="20">
        <f>-5.261+1.034-3.641-0.003-5.626-0.839+4.47</f>
        <v>-9.8659999999999997</v>
      </c>
      <c r="H32" s="20">
        <f>7.292+1.896-2.525-5.379+24.677+2.103</f>
        <v>28.064</v>
      </c>
      <c r="I32" s="20">
        <f>10.617+2.9+2.98-0.616-58.883-8.541-5.03-J32-K32-L32</f>
        <v>-34.653000000000013</v>
      </c>
      <c r="J32" s="20">
        <f>-7.231-0.801+1.431+0.105-14.633-2.408-0.778</f>
        <v>-24.314999999999998</v>
      </c>
      <c r="K32" s="20">
        <f>0.483+0.983+2.772+0.163-18.046+12.922+5.192</f>
        <v>4.4690000000000012</v>
      </c>
      <c r="L32" s="20">
        <f>14.789+2.994-2.186+0.428-22.584+7.868-3.383</f>
        <v>-2.0739999999999972</v>
      </c>
      <c r="M32" s="20">
        <f>7.263-0.361+1.422+1.281-73.331-9.412-3.755-N32-O32-P32</f>
        <v>-42.292000000000009</v>
      </c>
      <c r="N32" s="20">
        <f>1.062+1.128-1.074-0.59-7.412+19.344-2.706</f>
        <v>9.7520000000000024</v>
      </c>
      <c r="O32" s="20">
        <f>-14.355+4.024+0.428-1.452-14.262-1.353+2.618</f>
        <v>-24.352</v>
      </c>
      <c r="P32" s="20">
        <f>11.628+0.499+3.622+1.403-12.823-24.33</f>
        <v>-20.000999999999998</v>
      </c>
      <c r="Q32" s="20"/>
      <c r="R32" s="20"/>
      <c r="S32" s="20"/>
      <c r="T32" s="20"/>
      <c r="U32" s="20"/>
      <c r="V32" s="20"/>
    </row>
    <row r="33" spans="1:23"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c r="R33" s="20"/>
      <c r="S33" s="20"/>
      <c r="T33" s="20"/>
      <c r="U33" s="20"/>
      <c r="V33" s="20"/>
    </row>
    <row r="34" spans="1:23"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c r="R34" s="29"/>
      <c r="S34" s="29"/>
      <c r="T34" s="29"/>
      <c r="U34" s="29"/>
      <c r="V34" s="29"/>
    </row>
    <row r="35" spans="1:23" s="27" customFormat="1">
      <c r="A35" s="27" t="s">
        <v>67</v>
      </c>
      <c r="B35" s="27">
        <v>49.749000000000002</v>
      </c>
      <c r="C35" s="27">
        <v>18.928999999999998</v>
      </c>
      <c r="D35" s="27">
        <v>-8.4410000000000007</v>
      </c>
      <c r="E35" s="27">
        <f>51.917-8.822-F35-G35-H35</f>
        <v>-24.063999999999993</v>
      </c>
      <c r="F35" s="27">
        <v>-15.648999999999999</v>
      </c>
      <c r="G35" s="27">
        <v>9.7609999999999992</v>
      </c>
      <c r="H35" s="27">
        <v>73.046999999999997</v>
      </c>
      <c r="I35" s="27">
        <f>58.801-J35-K35-L35</f>
        <v>14.497999999999998</v>
      </c>
      <c r="J35" s="27">
        <v>-8.3119999999999994</v>
      </c>
      <c r="K35" s="27">
        <v>13.989000000000001</v>
      </c>
      <c r="L35" s="27">
        <v>38.625999999999998</v>
      </c>
      <c r="M35" s="27">
        <f>84.163-N35-O35-P35</f>
        <v>-27.585000000000001</v>
      </c>
      <c r="N35" s="27">
        <v>55.634</v>
      </c>
      <c r="O35" s="27">
        <v>10.375</v>
      </c>
      <c r="P35" s="27">
        <v>45.738999999999997</v>
      </c>
      <c r="Q35" s="27">
        <v>32.762999999999991</v>
      </c>
      <c r="R35" s="27">
        <v>27.895</v>
      </c>
      <c r="S35" s="27">
        <v>35.343000000000004</v>
      </c>
      <c r="T35" s="27">
        <v>42.118000000000002</v>
      </c>
      <c r="U35" s="27">
        <v>37.844999999999999</v>
      </c>
      <c r="V35" s="27">
        <v>1.835</v>
      </c>
    </row>
    <row r="36" spans="1:23" s="33" customFormat="1">
      <c r="A36" s="20" t="s">
        <v>68</v>
      </c>
      <c r="B36" s="29">
        <v>-13.85</v>
      </c>
      <c r="C36" s="29">
        <v>-20.577999999999999</v>
      </c>
      <c r="D36" s="29">
        <f>-42.383-4.87</f>
        <v>-47.253</v>
      </c>
      <c r="E36" s="29">
        <f>-79.8-7.989-F36-G36-H36</f>
        <v>-19.260000000000005</v>
      </c>
      <c r="F36" s="29">
        <v>-12.454000000000001</v>
      </c>
      <c r="G36" s="29">
        <v>-31.481000000000002</v>
      </c>
      <c r="H36" s="29">
        <v>-24.594000000000001</v>
      </c>
      <c r="I36" s="29">
        <f>-92.65-J36-K36-L36</f>
        <v>-20.734000000000002</v>
      </c>
      <c r="J36" s="29">
        <v>-14.489000000000001</v>
      </c>
      <c r="K36" s="29">
        <f>-42.01</f>
        <v>-42.01</v>
      </c>
      <c r="L36" s="29">
        <v>-15.417</v>
      </c>
      <c r="M36" s="29">
        <f>-86.539-N36-O36-P36</f>
        <v>-26.760000000000005</v>
      </c>
      <c r="N36" s="29">
        <v>-14.249000000000001</v>
      </c>
      <c r="O36" s="29">
        <f>-22.292</f>
        <v>-22.292000000000002</v>
      </c>
      <c r="P36" s="29">
        <v>-23.238</v>
      </c>
      <c r="Q36" s="29">
        <v>-24.336999999999996</v>
      </c>
      <c r="R36" s="29">
        <v>-8.2959999999999994</v>
      </c>
      <c r="S36" s="29">
        <v>-25.436</v>
      </c>
      <c r="T36" s="29">
        <v>-19.481000000000002</v>
      </c>
      <c r="U36" s="29">
        <v>-15.250999999999991</v>
      </c>
      <c r="V36" s="29">
        <v>-12.092000000000001</v>
      </c>
    </row>
    <row r="37" spans="1:23" s="27" customFormat="1">
      <c r="A37" s="27" t="s">
        <v>69</v>
      </c>
      <c r="B37" s="27">
        <f t="shared" ref="B37:O37" si="25">+B35+B36</f>
        <v>35.899000000000001</v>
      </c>
      <c r="C37" s="27">
        <f t="shared" si="25"/>
        <v>-1.6490000000000009</v>
      </c>
      <c r="D37" s="27">
        <f t="shared" si="25"/>
        <v>-55.694000000000003</v>
      </c>
      <c r="E37" s="27">
        <f t="shared" si="25"/>
        <v>-43.323999999999998</v>
      </c>
      <c r="F37" s="27">
        <f t="shared" si="25"/>
        <v>-28.103000000000002</v>
      </c>
      <c r="G37" s="27">
        <f t="shared" si="25"/>
        <v>-21.720000000000002</v>
      </c>
      <c r="H37" s="27">
        <f t="shared" si="25"/>
        <v>48.452999999999996</v>
      </c>
      <c r="I37" s="27">
        <f t="shared" si="25"/>
        <v>-6.2360000000000042</v>
      </c>
      <c r="J37" s="27">
        <f t="shared" si="25"/>
        <v>-22.801000000000002</v>
      </c>
      <c r="K37" s="27">
        <f t="shared" si="25"/>
        <v>-28.020999999999997</v>
      </c>
      <c r="L37" s="27">
        <f t="shared" si="25"/>
        <v>23.208999999999996</v>
      </c>
      <c r="M37" s="27">
        <f t="shared" si="25"/>
        <v>-54.345000000000006</v>
      </c>
      <c r="N37" s="27">
        <f t="shared" si="25"/>
        <v>41.384999999999998</v>
      </c>
      <c r="O37" s="27">
        <f t="shared" si="25"/>
        <v>-11.917000000000002</v>
      </c>
      <c r="P37" s="27">
        <f t="shared" ref="P37:V37" si="26">+P35+P36</f>
        <v>22.500999999999998</v>
      </c>
      <c r="Q37" s="27">
        <f t="shared" si="26"/>
        <v>8.4259999999999948</v>
      </c>
      <c r="R37" s="27">
        <f t="shared" si="26"/>
        <v>19.599</v>
      </c>
      <c r="S37" s="27">
        <f t="shared" si="26"/>
        <v>9.9070000000000036</v>
      </c>
      <c r="T37" s="27">
        <f t="shared" si="26"/>
        <v>22.637</v>
      </c>
      <c r="U37" s="27">
        <f t="shared" si="26"/>
        <v>22.594000000000008</v>
      </c>
      <c r="V37" s="27">
        <f t="shared" si="26"/>
        <v>-10.257000000000001</v>
      </c>
    </row>
    <row r="39" spans="1:23" s="35" customFormat="1">
      <c r="A39" s="34" t="s">
        <v>70</v>
      </c>
      <c r="B39" s="20">
        <v>64</v>
      </c>
      <c r="C39" s="20">
        <f>D39+0</f>
        <v>222.55</v>
      </c>
      <c r="D39" s="20">
        <f>E39+148.75</f>
        <v>222.55</v>
      </c>
      <c r="E39" s="20">
        <v>73.8</v>
      </c>
      <c r="F39" s="20">
        <v>110</v>
      </c>
      <c r="G39" s="20">
        <v>0</v>
      </c>
      <c r="H39" s="20">
        <v>0</v>
      </c>
      <c r="I39" s="20">
        <v>0</v>
      </c>
      <c r="J39" s="20">
        <v>0</v>
      </c>
      <c r="K39" s="20">
        <v>0</v>
      </c>
      <c r="L39" s="20">
        <v>0</v>
      </c>
      <c r="M39" s="20">
        <v>0</v>
      </c>
      <c r="N39" s="20">
        <v>0</v>
      </c>
      <c r="O39" s="20">
        <v>0</v>
      </c>
      <c r="P39" s="20">
        <v>20</v>
      </c>
      <c r="Q39" s="20">
        <v>20</v>
      </c>
      <c r="R39" s="20">
        <v>25</v>
      </c>
      <c r="S39" s="20">
        <v>75</v>
      </c>
      <c r="T39" s="20"/>
      <c r="U39" s="20"/>
      <c r="V39" s="20"/>
    </row>
    <row r="40" spans="1:23" s="35" customFormat="1">
      <c r="A40" s="34" t="s">
        <v>71</v>
      </c>
      <c r="B40" s="20">
        <v>1397</v>
      </c>
      <c r="C40" s="20">
        <f>D40-3.336</f>
        <v>1324.4279999999999</v>
      </c>
      <c r="D40" s="20">
        <f>E40-3.336</f>
        <v>1327.7639999999999</v>
      </c>
      <c r="E40" s="20">
        <v>1331.1</v>
      </c>
      <c r="F40" s="20">
        <f>1179.719+167.7</f>
        <v>1347.4190000000001</v>
      </c>
      <c r="G40" s="20">
        <f>1183+167.9</f>
        <v>1350.9</v>
      </c>
      <c r="H40" s="20">
        <v>1355.7280000000001</v>
      </c>
      <c r="I40" s="20">
        <f>1187.019+168.709</f>
        <v>1355.7280000000001</v>
      </c>
      <c r="J40" s="20">
        <f>1190.9+168.9</f>
        <v>1359.8000000000002</v>
      </c>
      <c r="K40" s="20">
        <f>1192.9+168.9</f>
        <v>1361.8000000000002</v>
      </c>
      <c r="L40" s="20">
        <f>1204.6+173.2</f>
        <v>1377.8</v>
      </c>
      <c r="M40" s="20">
        <f>1207.2+173.2</f>
        <v>1380.4</v>
      </c>
      <c r="N40" s="20">
        <v>1258.0610000000001</v>
      </c>
      <c r="O40" s="20">
        <v>1258.0610000000001</v>
      </c>
      <c r="P40" s="20">
        <v>1276.875</v>
      </c>
      <c r="Q40" s="20">
        <v>1280</v>
      </c>
      <c r="R40" s="20">
        <v>1286.25</v>
      </c>
      <c r="S40" s="20">
        <v>1286.25</v>
      </c>
      <c r="T40" s="20"/>
      <c r="U40" s="20"/>
      <c r="V40" s="20"/>
      <c r="W40" s="33"/>
    </row>
    <row r="41" spans="1:23" s="35" customFormat="1">
      <c r="A41" s="34" t="s">
        <v>72</v>
      </c>
      <c r="B41" s="20">
        <f>B39+B40+242</f>
        <v>1703</v>
      </c>
      <c r="C41" s="20">
        <f>C39+C40+242.3</f>
        <v>1789.2779999999998</v>
      </c>
      <c r="D41" s="20">
        <f>D39+D40+242.3</f>
        <v>1792.6139999999998</v>
      </c>
      <c r="E41" s="20">
        <f>E39+E40+242.3</f>
        <v>1647.1999999999998</v>
      </c>
      <c r="F41" s="20">
        <f>F39+F40+242.4</f>
        <v>1699.8190000000002</v>
      </c>
      <c r="G41" s="20">
        <f>G39+G40+242.4</f>
        <v>1593.3000000000002</v>
      </c>
      <c r="H41" s="20">
        <f>H39+H40+242.705</f>
        <v>1598.433</v>
      </c>
      <c r="I41" s="20">
        <f>I39+I40+242.705</f>
        <v>1598.433</v>
      </c>
      <c r="J41" s="20">
        <f>J39+J40+242.7</f>
        <v>1602.5000000000002</v>
      </c>
      <c r="K41" s="20">
        <f>K39+K40+242.7</f>
        <v>1604.5000000000002</v>
      </c>
      <c r="L41" s="20">
        <f>L39+L40+246.717</f>
        <v>1624.5170000000001</v>
      </c>
      <c r="M41" s="20">
        <v>1627.1170000000002</v>
      </c>
      <c r="N41" s="20">
        <v>1504.7780000000002</v>
      </c>
      <c r="O41" s="20">
        <v>1504.7780000000002</v>
      </c>
      <c r="P41" s="20">
        <v>1556.875</v>
      </c>
      <c r="Q41" s="20">
        <v>1560</v>
      </c>
      <c r="R41" s="20">
        <v>1571.25</v>
      </c>
      <c r="S41" s="20">
        <v>1621.25</v>
      </c>
      <c r="T41" s="20"/>
      <c r="U41" s="20"/>
      <c r="V41" s="20"/>
    </row>
    <row r="42" spans="1:23" s="35" customFormat="1">
      <c r="A42" s="34" t="s">
        <v>73</v>
      </c>
      <c r="B42" s="36">
        <v>0</v>
      </c>
      <c r="C42" s="36">
        <v>0</v>
      </c>
      <c r="D42" s="36">
        <v>0</v>
      </c>
      <c r="E42" s="36">
        <v>0</v>
      </c>
      <c r="F42" s="36">
        <v>0</v>
      </c>
      <c r="G42" s="36">
        <v>0</v>
      </c>
      <c r="H42" s="36">
        <v>0</v>
      </c>
      <c r="I42" s="36">
        <v>0</v>
      </c>
      <c r="J42" s="36">
        <v>0</v>
      </c>
      <c r="K42" s="36">
        <v>0</v>
      </c>
      <c r="L42" s="36">
        <v>0</v>
      </c>
      <c r="M42" s="36">
        <v>0</v>
      </c>
      <c r="N42" s="36">
        <v>0</v>
      </c>
      <c r="O42" s="36">
        <v>0</v>
      </c>
      <c r="P42" s="36">
        <v>0</v>
      </c>
      <c r="Q42" s="36">
        <v>0</v>
      </c>
      <c r="R42" s="36">
        <v>0</v>
      </c>
      <c r="S42" s="36">
        <v>0</v>
      </c>
      <c r="T42" s="36"/>
      <c r="U42" s="36"/>
      <c r="V42" s="36"/>
    </row>
    <row r="43" spans="1:23">
      <c r="B43" s="33"/>
      <c r="C43" s="33"/>
      <c r="D43" s="33"/>
      <c r="E43" s="33"/>
      <c r="F43" s="33"/>
      <c r="G43" s="33"/>
      <c r="H43" s="33"/>
      <c r="I43" s="35"/>
      <c r="J43" s="35"/>
      <c r="K43" s="35"/>
      <c r="L43" s="35"/>
      <c r="M43" s="35"/>
      <c r="N43" s="35"/>
      <c r="O43" s="35"/>
      <c r="P43" s="35"/>
      <c r="Q43" s="35"/>
    </row>
    <row r="44" spans="1:23">
      <c r="A44" s="19" t="s">
        <v>74</v>
      </c>
      <c r="B44" s="28">
        <f>20+11</f>
        <v>31</v>
      </c>
      <c r="C44" s="28">
        <v>179.16399999999999</v>
      </c>
      <c r="D44" s="28">
        <v>162.00899999999999</v>
      </c>
      <c r="E44" s="28">
        <v>47</v>
      </c>
      <c r="F44" s="28">
        <v>22.289000000000001</v>
      </c>
      <c r="G44" s="28">
        <v>68.906999999999996</v>
      </c>
      <c r="H44" s="28">
        <v>93.873000000000005</v>
      </c>
      <c r="I44" s="28">
        <v>55.476999999999997</v>
      </c>
      <c r="J44" s="28">
        <v>104.836</v>
      </c>
      <c r="K44" s="28">
        <v>82.9</v>
      </c>
      <c r="L44" s="28">
        <v>107.1</v>
      </c>
      <c r="M44" s="28">
        <v>100.471</v>
      </c>
      <c r="N44" s="28">
        <v>119.33499999999999</v>
      </c>
      <c r="O44" s="28">
        <v>57.597999999999999</v>
      </c>
      <c r="P44" s="28">
        <v>76.209000000000003</v>
      </c>
      <c r="Q44" s="28">
        <v>55.643999999999998</v>
      </c>
      <c r="R44" s="28">
        <v>42.912999999999997</v>
      </c>
      <c r="S44" s="28">
        <v>34.781999999999996</v>
      </c>
      <c r="T44" s="28"/>
      <c r="U44" s="28"/>
      <c r="V44" s="28"/>
    </row>
    <row r="46" spans="1:23">
      <c r="A46" s="14" t="s">
        <v>75</v>
      </c>
      <c r="B46" s="33">
        <f t="shared" ref="B46:S46" si="27">SUM(B12:E12)</f>
        <v>691.74199999999996</v>
      </c>
      <c r="C46" s="33">
        <f t="shared" si="27"/>
        <v>678.53600000000006</v>
      </c>
      <c r="D46" s="33">
        <f t="shared" si="27"/>
        <v>705.87599999999998</v>
      </c>
      <c r="E46" s="33">
        <f t="shared" si="27"/>
        <v>731.68399999999997</v>
      </c>
      <c r="F46" s="33">
        <f t="shared" si="27"/>
        <v>719.57900000000006</v>
      </c>
      <c r="G46" s="33">
        <f t="shared" si="27"/>
        <v>735.63900000000001</v>
      </c>
      <c r="H46" s="33">
        <f t="shared" si="27"/>
        <v>733.12800000000016</v>
      </c>
      <c r="I46" s="33">
        <f t="shared" si="27"/>
        <v>741.45899999999995</v>
      </c>
      <c r="J46" s="33">
        <f t="shared" si="27"/>
        <v>749.48300000000006</v>
      </c>
      <c r="K46" s="33">
        <f t="shared" si="27"/>
        <v>768.24300000000005</v>
      </c>
      <c r="L46" s="33">
        <f t="shared" si="27"/>
        <v>829.02800000000002</v>
      </c>
      <c r="M46" s="33">
        <f t="shared" si="27"/>
        <v>788.92000000000007</v>
      </c>
      <c r="N46" s="33">
        <f t="shared" si="27"/>
        <v>765.58200000000011</v>
      </c>
      <c r="O46" s="33">
        <f t="shared" si="27"/>
        <v>747.50800000000004</v>
      </c>
      <c r="P46" s="33">
        <f t="shared" si="27"/>
        <v>666.02199999999993</v>
      </c>
      <c r="Q46" s="33">
        <f t="shared" si="27"/>
        <v>658.12300000000005</v>
      </c>
      <c r="R46" s="33">
        <f t="shared" si="27"/>
        <v>678.68700000000001</v>
      </c>
      <c r="S46" s="33">
        <f t="shared" si="27"/>
        <v>686.34100000000001</v>
      </c>
    </row>
    <row r="47" spans="1:23">
      <c r="A47" s="14" t="s">
        <v>76</v>
      </c>
      <c r="B47" s="33">
        <f t="shared" ref="B47:C47" si="28">+B27</f>
        <v>325</v>
      </c>
      <c r="C47" s="33">
        <f t="shared" si="28"/>
        <v>309.89682299999998</v>
      </c>
      <c r="D47" s="33">
        <f t="shared" ref="D47:E47" si="29">+D27</f>
        <v>286.88461000000001</v>
      </c>
      <c r="E47" s="33">
        <f t="shared" si="29"/>
        <v>276.5</v>
      </c>
      <c r="F47" s="33">
        <f t="shared" ref="F47:G47" si="30">+F27</f>
        <v>258.76182299999999</v>
      </c>
      <c r="G47" s="33">
        <f t="shared" si="30"/>
        <v>263.80010399999998</v>
      </c>
      <c r="H47" s="33">
        <f t="shared" ref="H47:M47" si="31">+H27</f>
        <v>269.11022200000002</v>
      </c>
      <c r="I47" s="33">
        <f t="shared" si="31"/>
        <v>262.49821900000001</v>
      </c>
      <c r="J47" s="33">
        <f t="shared" si="31"/>
        <v>258.02881400000001</v>
      </c>
      <c r="K47" s="33">
        <f t="shared" si="31"/>
        <v>273.8</v>
      </c>
      <c r="L47" s="33">
        <f t="shared" si="31"/>
        <v>287.7</v>
      </c>
      <c r="M47" s="33">
        <f t="shared" si="31"/>
        <v>282.60000000000002</v>
      </c>
      <c r="N47" s="33">
        <f t="shared" ref="N47:S47" si="32">+N27</f>
        <v>278.065</v>
      </c>
      <c r="O47" s="33">
        <f t="shared" si="32"/>
        <v>271.97800000000001</v>
      </c>
      <c r="P47" s="33">
        <f t="shared" si="32"/>
        <v>265.06</v>
      </c>
      <c r="Q47" s="33">
        <f t="shared" si="32"/>
        <v>238.06900000000002</v>
      </c>
      <c r="R47" s="33">
        <f t="shared" si="32"/>
        <v>244.36799999999997</v>
      </c>
      <c r="S47" s="33">
        <f t="shared" si="32"/>
        <v>242.98999999999998</v>
      </c>
    </row>
    <row r="48" spans="1:23">
      <c r="A48" s="14" t="s">
        <v>77</v>
      </c>
      <c r="B48" s="33">
        <f t="shared" ref="B48:S48" si="33">+SUM(B37:E37)</f>
        <v>-64.768000000000001</v>
      </c>
      <c r="C48" s="33">
        <f t="shared" si="33"/>
        <v>-128.77000000000001</v>
      </c>
      <c r="D48" s="33">
        <f t="shared" si="33"/>
        <v>-148.84100000000001</v>
      </c>
      <c r="E48" s="33">
        <f t="shared" si="33"/>
        <v>-44.693999999999996</v>
      </c>
      <c r="F48" s="33">
        <f t="shared" si="33"/>
        <v>-7.6060000000000159</v>
      </c>
      <c r="G48" s="33">
        <f t="shared" si="33"/>
        <v>-2.3040000000000127</v>
      </c>
      <c r="H48" s="33">
        <f t="shared" si="33"/>
        <v>-8.6050000000000075</v>
      </c>
      <c r="I48" s="33">
        <f t="shared" si="33"/>
        <v>-33.849000000000011</v>
      </c>
      <c r="J48" s="33">
        <f t="shared" si="33"/>
        <v>-81.958000000000013</v>
      </c>
      <c r="K48" s="33">
        <f t="shared" si="33"/>
        <v>-17.772000000000013</v>
      </c>
      <c r="L48" s="33">
        <f t="shared" si="33"/>
        <v>-1.6680000000000135</v>
      </c>
      <c r="M48" s="33">
        <f t="shared" si="33"/>
        <v>-2.3760000000000119</v>
      </c>
      <c r="N48" s="33">
        <f t="shared" si="33"/>
        <v>60.394999999999989</v>
      </c>
      <c r="O48" s="33">
        <f t="shared" si="33"/>
        <v>38.608999999999995</v>
      </c>
      <c r="P48" s="33">
        <f t="shared" si="33"/>
        <v>60.433</v>
      </c>
      <c r="Q48" s="33">
        <f t="shared" si="33"/>
        <v>60.569000000000003</v>
      </c>
      <c r="R48" s="33">
        <f t="shared" si="33"/>
        <v>74.737000000000009</v>
      </c>
      <c r="S48" s="33">
        <f t="shared" si="33"/>
        <v>44.881000000000014</v>
      </c>
    </row>
    <row r="50" spans="1:22" s="37" customFormat="1">
      <c r="A50" s="37" t="s">
        <v>78</v>
      </c>
      <c r="B50" s="37">
        <f t="shared" ref="B50:C50" si="34">+SUM(B39:B40)/B47</f>
        <v>4.4953846153846158</v>
      </c>
      <c r="C50" s="37">
        <f t="shared" si="34"/>
        <v>4.9919130664982649</v>
      </c>
      <c r="D50" s="37">
        <f t="shared" ref="D50:E50" si="35">+SUM(D39:D40)/D47</f>
        <v>5.403963635414252</v>
      </c>
      <c r="E50" s="37">
        <f t="shared" si="35"/>
        <v>5.0810126582278476</v>
      </c>
      <c r="F50" s="37">
        <f t="shared" ref="F50:G50" si="36">+SUM(F39:F40)/F47</f>
        <v>5.6322798436923991</v>
      </c>
      <c r="G50" s="37">
        <f t="shared" si="36"/>
        <v>5.1209229242760275</v>
      </c>
      <c r="H50" s="37">
        <f t="shared" ref="H50:I50" si="37">+SUM(H39:H40)/H47</f>
        <v>5.0378168095004581</v>
      </c>
      <c r="I50" s="37">
        <f t="shared" si="37"/>
        <v>5.1647131365870331</v>
      </c>
      <c r="J50" s="37">
        <f t="shared" ref="J50:K50" si="38">+SUM(J39:J40)/J47</f>
        <v>5.2699540757490757</v>
      </c>
      <c r="K50" s="37">
        <f t="shared" si="38"/>
        <v>4.9737034331628927</v>
      </c>
      <c r="L50" s="37">
        <f t="shared" ref="L50:S50" si="39">+SUM(L39:L40)/L47</f>
        <v>4.7890163364615921</v>
      </c>
      <c r="M50" s="37">
        <f t="shared" si="39"/>
        <v>4.8846426043878273</v>
      </c>
      <c r="N50" s="37">
        <f t="shared" si="39"/>
        <v>4.5243414309603871</v>
      </c>
      <c r="O50" s="37">
        <f t="shared" si="39"/>
        <v>4.6255983939877492</v>
      </c>
      <c r="P50" s="37">
        <f t="shared" si="39"/>
        <v>4.8927601297819363</v>
      </c>
      <c r="Q50" s="37">
        <f t="shared" si="39"/>
        <v>5.460601758313766</v>
      </c>
      <c r="R50" s="37">
        <f t="shared" si="39"/>
        <v>5.3658826032868472</v>
      </c>
      <c r="S50" s="37">
        <f t="shared" si="39"/>
        <v>5.6020823902218204</v>
      </c>
    </row>
    <row r="51" spans="1:22" s="37" customFormat="1">
      <c r="A51" s="37" t="s">
        <v>79</v>
      </c>
      <c r="B51" s="37">
        <f t="shared" ref="B51:C51" si="40">+B41/B47</f>
        <v>5.24</v>
      </c>
      <c r="C51" s="37">
        <f t="shared" si="40"/>
        <v>5.7737861998023767</v>
      </c>
      <c r="D51" s="37">
        <f t="shared" ref="D51:E51" si="41">+D41/D47</f>
        <v>6.2485540789378691</v>
      </c>
      <c r="E51" s="37">
        <f t="shared" si="41"/>
        <v>5.9573236889692582</v>
      </c>
      <c r="F51" s="37">
        <f t="shared" ref="F51:G51" si="42">+F41/F47</f>
        <v>6.5690486343497438</v>
      </c>
      <c r="G51" s="37">
        <f t="shared" si="42"/>
        <v>6.0398004998512071</v>
      </c>
      <c r="H51" s="37">
        <f t="shared" ref="H51:I51" si="43">+H41/H47</f>
        <v>5.9396963375103597</v>
      </c>
      <c r="I51" s="37">
        <f t="shared" si="43"/>
        <v>6.089309885946312</v>
      </c>
      <c r="J51" s="37">
        <f t="shared" ref="J51:S51" si="44">+J41/J47</f>
        <v>6.2105467027415013</v>
      </c>
      <c r="K51" s="37">
        <f t="shared" si="44"/>
        <v>5.8601168736303881</v>
      </c>
      <c r="L51" s="37">
        <f t="shared" si="44"/>
        <v>5.6465658672228018</v>
      </c>
      <c r="M51" s="37">
        <f t="shared" si="44"/>
        <v>5.7576680820948338</v>
      </c>
      <c r="N51" s="37">
        <f t="shared" si="44"/>
        <v>5.4116052002229704</v>
      </c>
      <c r="O51" s="37">
        <f t="shared" si="44"/>
        <v>5.5327195581995614</v>
      </c>
      <c r="P51" s="37">
        <f t="shared" si="44"/>
        <v>5.8736701124273747</v>
      </c>
      <c r="Q51" s="37">
        <f t="shared" si="44"/>
        <v>6.5527221099765187</v>
      </c>
      <c r="R51" s="37">
        <f t="shared" si="44"/>
        <v>6.4298516990768029</v>
      </c>
      <c r="S51" s="37">
        <f t="shared" si="44"/>
        <v>6.6720852709988074</v>
      </c>
    </row>
    <row r="52" spans="1:22" s="37" customFormat="1">
      <c r="A52" s="37" t="s">
        <v>80</v>
      </c>
      <c r="B52" s="37">
        <f t="shared" ref="B52:C52" si="45">+(B41-B44)/B47</f>
        <v>5.1446153846153848</v>
      </c>
      <c r="C52" s="37">
        <f t="shared" si="45"/>
        <v>5.1956453906595872</v>
      </c>
      <c r="D52" s="37">
        <f t="shared" ref="D52:E52" si="46">+(D41-D44)/D47</f>
        <v>5.6838357414850513</v>
      </c>
      <c r="E52" s="37">
        <f t="shared" si="46"/>
        <v>5.7873417721518985</v>
      </c>
      <c r="F52" s="37">
        <f t="shared" ref="F52:G52" si="47">+(F41-F44)/F47</f>
        <v>6.4829115073903321</v>
      </c>
      <c r="G52" s="37">
        <f t="shared" si="47"/>
        <v>5.7785913533984061</v>
      </c>
      <c r="H52" s="37">
        <f t="shared" ref="H52:I52" si="48">+(H41-H44)/H47</f>
        <v>5.5908690083128834</v>
      </c>
      <c r="I52" s="37">
        <f t="shared" si="48"/>
        <v>5.8779674996575872</v>
      </c>
      <c r="J52" s="37">
        <f t="shared" ref="J52:S52" si="49">+(J41-J44)/J47</f>
        <v>5.8042509934568782</v>
      </c>
      <c r="K52" s="37">
        <f t="shared" si="49"/>
        <v>5.5573411249086924</v>
      </c>
      <c r="L52" s="37">
        <f t="shared" si="49"/>
        <v>5.2743030935001745</v>
      </c>
      <c r="M52" s="37">
        <f t="shared" si="49"/>
        <v>5.4021443736730363</v>
      </c>
      <c r="N52" s="37">
        <f t="shared" si="49"/>
        <v>4.9824429539855801</v>
      </c>
      <c r="O52" s="37">
        <f t="shared" si="49"/>
        <v>5.3209450764400072</v>
      </c>
      <c r="P52" s="37">
        <f t="shared" si="49"/>
        <v>5.586154078321889</v>
      </c>
      <c r="Q52" s="37">
        <f t="shared" si="49"/>
        <v>6.3189915528691261</v>
      </c>
      <c r="R52" s="37">
        <f t="shared" si="49"/>
        <v>6.2542435998166708</v>
      </c>
      <c r="S52" s="37">
        <f t="shared" si="49"/>
        <v>6.528943577925018</v>
      </c>
    </row>
    <row r="53" spans="1:22" s="38" customFormat="1">
      <c r="A53" s="38" t="s">
        <v>81</v>
      </c>
      <c r="B53" s="38">
        <f t="shared" ref="B53:C53" si="50">+B48/B41</f>
        <v>-3.8031708749266001E-2</v>
      </c>
      <c r="C53" s="38">
        <f t="shared" si="50"/>
        <v>-7.1967575748430393E-2</v>
      </c>
      <c r="D53" s="38">
        <f t="shared" ref="D53:E53" si="51">+D48/D41</f>
        <v>-8.3030144805295525E-2</v>
      </c>
      <c r="E53" s="38">
        <f t="shared" si="51"/>
        <v>-2.713331714424478E-2</v>
      </c>
      <c r="F53" s="38">
        <f t="shared" ref="F53:G53" si="52">+F48/F41</f>
        <v>-4.4745940597204848E-3</v>
      </c>
      <c r="G53" s="38">
        <f t="shared" si="52"/>
        <v>-1.4460553568066356E-3</v>
      </c>
      <c r="H53" s="38">
        <f t="shared" ref="H53:M53" si="53">+H48/H41</f>
        <v>-5.3833973647941496E-3</v>
      </c>
      <c r="I53" s="38">
        <f t="shared" si="53"/>
        <v>-2.1176364602082172E-2</v>
      </c>
      <c r="J53" s="38">
        <f t="shared" si="53"/>
        <v>-5.1143837753510141E-2</v>
      </c>
      <c r="K53" s="38">
        <f t="shared" si="53"/>
        <v>-1.1076347771891561E-2</v>
      </c>
      <c r="L53" s="38">
        <f t="shared" si="53"/>
        <v>-1.0267667251250762E-3</v>
      </c>
      <c r="M53" s="38">
        <f t="shared" si="53"/>
        <v>-1.4602514754624356E-3</v>
      </c>
      <c r="N53" s="38">
        <f t="shared" ref="N53:S53" si="54">+N48/N41</f>
        <v>4.0135488424206084E-2</v>
      </c>
      <c r="O53" s="38">
        <f t="shared" si="54"/>
        <v>2.5657605307892586E-2</v>
      </c>
      <c r="P53" s="38">
        <f t="shared" si="54"/>
        <v>3.8816860698514651E-2</v>
      </c>
      <c r="Q53" s="38">
        <f t="shared" si="54"/>
        <v>3.8826282051282052E-2</v>
      </c>
      <c r="R53" s="38">
        <f t="shared" si="54"/>
        <v>4.7565314240254578E-2</v>
      </c>
      <c r="S53" s="38">
        <f t="shared" si="54"/>
        <v>2.7682960678488831E-2</v>
      </c>
    </row>
    <row r="54" spans="1:22" s="38" customFormat="1">
      <c r="A54" s="39" t="s">
        <v>82</v>
      </c>
      <c r="B54" s="40">
        <v>9</v>
      </c>
      <c r="C54" s="40">
        <v>9</v>
      </c>
      <c r="D54" s="40">
        <v>9</v>
      </c>
      <c r="E54" s="40">
        <v>9</v>
      </c>
      <c r="F54" s="40">
        <v>9</v>
      </c>
      <c r="G54" s="40">
        <v>9</v>
      </c>
      <c r="H54" s="40">
        <v>9</v>
      </c>
      <c r="I54" s="40">
        <v>9</v>
      </c>
      <c r="J54" s="40">
        <v>9</v>
      </c>
      <c r="K54" s="40">
        <v>9</v>
      </c>
      <c r="L54" s="40">
        <v>9</v>
      </c>
      <c r="M54" s="40">
        <v>9</v>
      </c>
      <c r="N54" s="40">
        <v>9</v>
      </c>
      <c r="O54" s="40">
        <v>9</v>
      </c>
      <c r="P54" s="40">
        <v>9</v>
      </c>
      <c r="Q54" s="40">
        <v>9</v>
      </c>
      <c r="R54" s="40">
        <v>9</v>
      </c>
      <c r="S54" s="40">
        <v>9</v>
      </c>
      <c r="T54" s="39"/>
      <c r="U54" s="39"/>
      <c r="V54" s="39"/>
    </row>
    <row r="55" spans="1:22" s="38" customFormat="1">
      <c r="A55" s="38" t="s">
        <v>83</v>
      </c>
      <c r="B55" s="41" t="str">
        <f t="shared" ref="B55:C55" si="55">IF(B42=0,IF(B54="","","*"&amp;TEXT(B54,"0.0x")),(B41+B42-B44)/B47)</f>
        <v>*9.0x</v>
      </c>
      <c r="C55" s="41" t="str">
        <f t="shared" si="55"/>
        <v>*9.0x</v>
      </c>
      <c r="D55" s="41" t="str">
        <f t="shared" ref="D55:E55" si="56">IF(D42=0,IF(D54="","","*"&amp;TEXT(D54,"0.0x")),(D41+D42-D44)/D47)</f>
        <v>*9.0x</v>
      </c>
      <c r="E55" s="41" t="str">
        <f t="shared" si="56"/>
        <v>*9.0x</v>
      </c>
      <c r="F55" s="41" t="str">
        <f t="shared" ref="F55:G55" si="57">IF(F42=0,IF(F54="","","*"&amp;TEXT(F54,"0.0x")),(F41+F42-F44)/F47)</f>
        <v>*9.0x</v>
      </c>
      <c r="G55" s="41" t="str">
        <f t="shared" si="57"/>
        <v>*9.0x</v>
      </c>
      <c r="H55" s="41" t="str">
        <f t="shared" ref="H55:M55" si="58">IF(H42=0,IF(H54="","","*"&amp;TEXT(H54,"0.0x")),(H41+H42-H44)/H47)</f>
        <v>*9.0x</v>
      </c>
      <c r="I55" s="41" t="str">
        <f t="shared" si="58"/>
        <v>*9.0x</v>
      </c>
      <c r="J55" s="41" t="str">
        <f t="shared" si="58"/>
        <v>*9.0x</v>
      </c>
      <c r="K55" s="41" t="str">
        <f t="shared" si="58"/>
        <v>*9.0x</v>
      </c>
      <c r="L55" s="41" t="str">
        <f t="shared" si="58"/>
        <v>*9.0x</v>
      </c>
      <c r="M55" s="41" t="str">
        <f t="shared" si="58"/>
        <v>*9.0x</v>
      </c>
      <c r="N55" s="41" t="str">
        <f t="shared" ref="N55:S55" si="59">IF(N42=0,IF(N54="","","*"&amp;TEXT(N54,"0.0x")),(N41+N42-N44)/N47)</f>
        <v>*9.0x</v>
      </c>
      <c r="O55" s="41" t="str">
        <f t="shared" si="59"/>
        <v>*9.0x</v>
      </c>
      <c r="P55" s="41" t="str">
        <f t="shared" si="59"/>
        <v>*9.0x</v>
      </c>
      <c r="Q55" s="41" t="str">
        <f t="shared" si="59"/>
        <v>*9.0x</v>
      </c>
      <c r="R55" s="41" t="str">
        <f t="shared" si="59"/>
        <v>*9.0x</v>
      </c>
      <c r="S55" s="41" t="str">
        <f t="shared" si="59"/>
        <v>*9.0x</v>
      </c>
      <c r="T55" s="41" t="str">
        <f>IF(T42=0,IF(T54="","",CONCATENATE("* ",T54,"x")),(T41+T42-T44)/T47)</f>
        <v/>
      </c>
      <c r="U55" s="41" t="str">
        <f>IF(U42=0,IF(U54="","",CONCATENATE("* ",U54,"x")),(U41+U42-U44)/U47)</f>
        <v/>
      </c>
      <c r="V55" s="41" t="str">
        <f>IF(V42=0,IF(V54="","",CONCATENATE("* ",V54,"x")),(V41+V42-V44)/V47)</f>
        <v/>
      </c>
    </row>
    <row r="56" spans="1:22">
      <c r="S56" s="42"/>
    </row>
    <row r="57" spans="1:22" ht="80.25" customHeight="1">
      <c r="A57" s="43" t="s">
        <v>84</v>
      </c>
      <c r="B57" s="44" t="s">
        <v>289</v>
      </c>
      <c r="C57" s="44" t="s">
        <v>289</v>
      </c>
      <c r="D57" s="44" t="s">
        <v>289</v>
      </c>
      <c r="E57" s="44" t="s">
        <v>289</v>
      </c>
      <c r="F57" s="44" t="s">
        <v>289</v>
      </c>
      <c r="G57" s="44" t="s">
        <v>289</v>
      </c>
      <c r="H57" s="44" t="s">
        <v>289</v>
      </c>
      <c r="I57" s="44" t="s">
        <v>289</v>
      </c>
      <c r="J57" s="44" t="s">
        <v>318</v>
      </c>
      <c r="K57" s="44" t="s">
        <v>295</v>
      </c>
      <c r="L57" s="44" t="s">
        <v>295</v>
      </c>
      <c r="M57" s="44" t="s">
        <v>90</v>
      </c>
      <c r="N57" s="44" t="s">
        <v>90</v>
      </c>
      <c r="O57" s="44" t="s">
        <v>90</v>
      </c>
      <c r="P57" s="44"/>
      <c r="Q57" s="44"/>
      <c r="R57" s="44"/>
      <c r="S57" s="44"/>
      <c r="T57" s="44"/>
      <c r="U57" s="44"/>
      <c r="V57" s="44"/>
    </row>
    <row r="58" spans="1:22">
      <c r="A58" s="45"/>
      <c r="B58" s="42"/>
      <c r="C58" s="42"/>
      <c r="D58" s="42"/>
      <c r="E58" s="42"/>
      <c r="F58" s="42"/>
      <c r="G58" s="42"/>
      <c r="H58" s="42"/>
      <c r="I58" s="42"/>
      <c r="J58" s="42"/>
      <c r="K58" s="42"/>
      <c r="L58" s="42"/>
      <c r="M58" s="42"/>
      <c r="N58" s="42"/>
      <c r="O58" s="42"/>
    </row>
    <row r="59" spans="1:22">
      <c r="A59" s="45"/>
    </row>
  </sheetData>
  <pageMargins left="0.7" right="0.7" top="0.75" bottom="0.75" header="0.3" footer="0.3"/>
  <pageSetup orientation="portrait" r:id="rId1"/>
  <ignoredErrors>
    <ignoredError sqref="I46:T55 H46 G47:H53 F46:G46 D46:E47 C46:C53" formulaRange="1"/>
  </ignoredErrors>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C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24" width="10.6640625" style="14" customWidth="1"/>
    <col min="25" max="16384" width="9.109375" style="14"/>
  </cols>
  <sheetData>
    <row r="2" spans="1:24">
      <c r="A2" s="13" t="s">
        <v>44</v>
      </c>
      <c r="B2" s="14" t="s">
        <v>42</v>
      </c>
    </row>
    <row r="3" spans="1:24" s="16" customFormat="1">
      <c r="A3" s="15" t="s">
        <v>45</v>
      </c>
      <c r="B3" s="16" t="s">
        <v>87</v>
      </c>
    </row>
    <row r="4" spans="1:24">
      <c r="A4" s="13" t="s">
        <v>2</v>
      </c>
      <c r="B4" s="14" t="s">
        <v>4</v>
      </c>
    </row>
    <row r="5" spans="1:24">
      <c r="A5" s="13" t="s">
        <v>46</v>
      </c>
    </row>
    <row r="6" spans="1:24">
      <c r="A6" s="13" t="s">
        <v>47</v>
      </c>
      <c r="B6" s="14">
        <v>4</v>
      </c>
    </row>
    <row r="7" spans="1:24">
      <c r="A7" s="13" t="s">
        <v>48</v>
      </c>
      <c r="B7" s="14" t="s">
        <v>237</v>
      </c>
    </row>
    <row r="8" spans="1:24">
      <c r="A8" s="13" t="s">
        <v>347</v>
      </c>
      <c r="B8" s="14" t="s">
        <v>376</v>
      </c>
    </row>
    <row r="9" spans="1:24">
      <c r="A9" s="17"/>
    </row>
    <row r="10" spans="1:24">
      <c r="A10" s="17" t="s">
        <v>49</v>
      </c>
      <c r="B10" s="18">
        <v>44286</v>
      </c>
      <c r="C10" s="18">
        <v>44196</v>
      </c>
      <c r="D10" s="18">
        <v>44104</v>
      </c>
      <c r="E10" s="18">
        <v>44012</v>
      </c>
      <c r="F10" s="18">
        <v>43921</v>
      </c>
      <c r="G10" s="18">
        <v>43830</v>
      </c>
      <c r="H10" s="18">
        <v>43738</v>
      </c>
      <c r="I10" s="18">
        <v>43646</v>
      </c>
      <c r="J10" s="18">
        <v>43555</v>
      </c>
      <c r="K10" s="18">
        <v>43465</v>
      </c>
      <c r="L10" s="18">
        <v>43373</v>
      </c>
      <c r="M10" s="18">
        <v>43281</v>
      </c>
      <c r="N10" s="18">
        <v>43190</v>
      </c>
      <c r="O10" s="18">
        <v>43100</v>
      </c>
      <c r="P10" s="18">
        <v>43008</v>
      </c>
      <c r="Q10" s="18">
        <v>42916</v>
      </c>
      <c r="R10" s="18">
        <v>42825</v>
      </c>
      <c r="S10" s="18">
        <v>42735</v>
      </c>
      <c r="T10" s="18">
        <v>42643</v>
      </c>
      <c r="U10" s="18">
        <v>42551</v>
      </c>
      <c r="V10" s="18">
        <v>42460</v>
      </c>
      <c r="W10" s="18">
        <v>42369</v>
      </c>
      <c r="X10" s="18">
        <v>42277</v>
      </c>
    </row>
    <row r="12" spans="1:24">
      <c r="A12" s="19" t="s">
        <v>50</v>
      </c>
      <c r="B12" s="20">
        <v>147.58799999999999</v>
      </c>
      <c r="C12" s="20">
        <v>138.36200000000008</v>
      </c>
      <c r="D12" s="20">
        <v>136.79</v>
      </c>
      <c r="E12" s="20">
        <v>124.777</v>
      </c>
      <c r="F12" s="20">
        <v>156.40100000000001</v>
      </c>
      <c r="G12" s="20">
        <v>162.4</v>
      </c>
      <c r="H12" s="20">
        <v>167.48500000000001</v>
      </c>
      <c r="I12" s="20">
        <v>180.691</v>
      </c>
      <c r="J12" s="20">
        <v>183.17</v>
      </c>
      <c r="K12" s="20">
        <f>730.201-L12-M12-N12</f>
        <v>168.11200000000002</v>
      </c>
      <c r="L12" s="20">
        <v>186.64400000000001</v>
      </c>
      <c r="M12" s="20">
        <v>190.101</v>
      </c>
      <c r="N12" s="20">
        <v>185.34399999999999</v>
      </c>
      <c r="O12" s="20">
        <f>654.386-P12-Q12-R12</f>
        <v>159.92999999999998</v>
      </c>
      <c r="P12" s="20">
        <v>161.27000000000001</v>
      </c>
      <c r="Q12" s="20">
        <v>168.66300000000001</v>
      </c>
      <c r="R12" s="20">
        <v>164.523</v>
      </c>
      <c r="S12" s="20">
        <v>135.69999999999999</v>
      </c>
      <c r="T12" s="20">
        <v>144.1</v>
      </c>
      <c r="U12" s="20">
        <v>156.4</v>
      </c>
      <c r="V12" s="20">
        <v>149</v>
      </c>
      <c r="W12" s="20">
        <v>158.4</v>
      </c>
      <c r="X12" s="20">
        <v>171.4</v>
      </c>
    </row>
    <row r="13" spans="1:24" s="21" customFormat="1">
      <c r="A13" s="21" t="s">
        <v>51</v>
      </c>
      <c r="B13" s="21">
        <f t="shared" ref="B13:T13" si="0">+B12/F12-1</f>
        <v>-5.6348744573244569E-2</v>
      </c>
      <c r="C13" s="21">
        <f t="shared" si="0"/>
        <v>-0.14801724137930983</v>
      </c>
      <c r="D13" s="21">
        <f t="shared" si="0"/>
        <v>-0.18327014359494886</v>
      </c>
      <c r="E13" s="21">
        <f t="shared" si="0"/>
        <v>-0.3094454067994532</v>
      </c>
      <c r="F13" s="21">
        <f t="shared" si="0"/>
        <v>-0.14614292733526224</v>
      </c>
      <c r="G13" s="21">
        <f t="shared" si="0"/>
        <v>-3.3977348434377164E-2</v>
      </c>
      <c r="H13" s="21">
        <f t="shared" si="0"/>
        <v>-0.10264996463856324</v>
      </c>
      <c r="I13" s="21">
        <f t="shared" si="0"/>
        <v>-4.9500002630180728E-2</v>
      </c>
      <c r="J13" s="21">
        <f t="shared" si="0"/>
        <v>-1.1729540745856415E-2</v>
      </c>
      <c r="K13" s="21">
        <f t="shared" si="0"/>
        <v>5.1159882448571503E-2</v>
      </c>
      <c r="L13" s="21">
        <f t="shared" si="0"/>
        <v>0.15733862466670789</v>
      </c>
      <c r="M13" s="21">
        <f t="shared" si="0"/>
        <v>0.12710552996211377</v>
      </c>
      <c r="N13" s="21">
        <f t="shared" si="0"/>
        <v>0.12655373412835891</v>
      </c>
      <c r="O13" s="21">
        <f t="shared" si="0"/>
        <v>0.1785556374355195</v>
      </c>
      <c r="P13" s="21">
        <f t="shared" si="0"/>
        <v>0.1191533657182513</v>
      </c>
      <c r="Q13" s="21">
        <f t="shared" si="0"/>
        <v>7.8407928388746884E-2</v>
      </c>
      <c r="R13" s="21">
        <f t="shared" si="0"/>
        <v>0.10418120805369124</v>
      </c>
      <c r="S13" s="21">
        <f t="shared" si="0"/>
        <v>-0.14330808080808088</v>
      </c>
      <c r="T13" s="21">
        <f t="shared" si="0"/>
        <v>-0.15927654609101527</v>
      </c>
    </row>
    <row r="14" spans="1:24"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t="s">
        <v>3</v>
      </c>
      <c r="P14" s="23" t="s">
        <v>3</v>
      </c>
      <c r="Q14" s="23" t="s">
        <v>3</v>
      </c>
      <c r="R14" s="23" t="s">
        <v>3</v>
      </c>
      <c r="S14" s="23" t="s">
        <v>3</v>
      </c>
      <c r="T14" s="23" t="s">
        <v>3</v>
      </c>
      <c r="U14" s="22"/>
      <c r="V14" s="22"/>
      <c r="W14" s="22"/>
      <c r="X14" s="22"/>
    </row>
    <row r="16" spans="1:24" s="17" customFormat="1">
      <c r="A16" s="25" t="s">
        <v>53</v>
      </c>
      <c r="B16" s="26">
        <v>22.998999999999999</v>
      </c>
      <c r="C16" s="26">
        <v>19.777999999999999</v>
      </c>
      <c r="D16" s="26">
        <v>19.815999999999999</v>
      </c>
      <c r="E16" s="26">
        <v>20.393999999999998</v>
      </c>
      <c r="F16" s="26">
        <v>23.335000000000001</v>
      </c>
      <c r="G16" s="26">
        <v>22.71</v>
      </c>
      <c r="H16" s="26">
        <v>26.248999999999999</v>
      </c>
      <c r="I16" s="26">
        <v>23.815000000000001</v>
      </c>
      <c r="J16" s="26">
        <v>21.744</v>
      </c>
      <c r="K16" s="26">
        <v>21.381</v>
      </c>
      <c r="L16" s="26">
        <v>30.042999999999999</v>
      </c>
      <c r="M16" s="26">
        <v>29.187999999999999</v>
      </c>
      <c r="N16" s="26">
        <v>27.744</v>
      </c>
      <c r="O16" s="26">
        <v>20.858000000000001</v>
      </c>
      <c r="P16" s="26">
        <v>23.149000000000001</v>
      </c>
      <c r="Q16" s="26">
        <v>23.39</v>
      </c>
      <c r="R16" s="26">
        <v>25.268000000000001</v>
      </c>
      <c r="S16" s="26">
        <v>19.542999999999999</v>
      </c>
      <c r="T16" s="26">
        <v>24.149000000000001</v>
      </c>
      <c r="U16" s="26">
        <v>26.452999999999999</v>
      </c>
      <c r="V16" s="26">
        <v>25.818999999999999</v>
      </c>
      <c r="W16" s="26">
        <v>26.359000000000002</v>
      </c>
      <c r="X16" s="26">
        <v>29.036999999999999</v>
      </c>
    </row>
    <row r="17" spans="1:24" s="21" customFormat="1">
      <c r="A17" s="21" t="s">
        <v>54</v>
      </c>
      <c r="B17" s="21">
        <f t="shared" ref="B17:C17" si="1">+B16/B12</f>
        <v>0.15583245250291353</v>
      </c>
      <c r="C17" s="21">
        <f t="shared" si="1"/>
        <v>0.14294387187233479</v>
      </c>
      <c r="D17" s="21">
        <f t="shared" ref="D17:E17" si="2">+D16/D12</f>
        <v>0.14486439067183274</v>
      </c>
      <c r="E17" s="21">
        <f t="shared" si="2"/>
        <v>0.1634435833527012</v>
      </c>
      <c r="F17" s="21">
        <f t="shared" ref="F17:G17" si="3">+F16/F12</f>
        <v>0.14919981330042648</v>
      </c>
      <c r="G17" s="21">
        <f t="shared" si="3"/>
        <v>0.13983990147783251</v>
      </c>
      <c r="H17" s="21">
        <f t="shared" ref="H17:I17" si="4">+H16/H12</f>
        <v>0.15672448278950352</v>
      </c>
      <c r="I17" s="21">
        <f t="shared" si="4"/>
        <v>0.13179959156792537</v>
      </c>
      <c r="J17" s="21">
        <f t="shared" ref="J17:K17" si="5">+J16/J12</f>
        <v>0.11870939564339139</v>
      </c>
      <c r="K17" s="21">
        <f t="shared" si="5"/>
        <v>0.12718306843057009</v>
      </c>
      <c r="L17" s="21">
        <f t="shared" ref="L17:Q17" si="6">+L16/L12</f>
        <v>0.16096418850860461</v>
      </c>
      <c r="M17" s="21">
        <f t="shared" si="6"/>
        <v>0.15353943430071382</v>
      </c>
      <c r="N17" s="21">
        <f t="shared" si="6"/>
        <v>0.14968922651933703</v>
      </c>
      <c r="O17" s="21">
        <f t="shared" si="6"/>
        <v>0.13041955855686865</v>
      </c>
      <c r="P17" s="21">
        <f t="shared" si="6"/>
        <v>0.14354188627767098</v>
      </c>
      <c r="Q17" s="21">
        <f t="shared" si="6"/>
        <v>0.13867890408684774</v>
      </c>
      <c r="R17" s="21">
        <f t="shared" ref="R17:X17" si="7">+R16/R12</f>
        <v>0.15358338955647538</v>
      </c>
      <c r="S17" s="21">
        <f t="shared" si="7"/>
        <v>0.14401621223286662</v>
      </c>
      <c r="T17" s="21">
        <f t="shared" si="7"/>
        <v>0.16758501040943791</v>
      </c>
      <c r="U17" s="21">
        <f t="shared" si="7"/>
        <v>0.16913682864450127</v>
      </c>
      <c r="V17" s="21">
        <f t="shared" si="7"/>
        <v>0.17328187919463087</v>
      </c>
      <c r="W17" s="21">
        <f t="shared" si="7"/>
        <v>0.1664078282828283</v>
      </c>
      <c r="X17" s="21">
        <f t="shared" si="7"/>
        <v>0.16941073512252042</v>
      </c>
    </row>
    <row r="18" spans="1:24" s="24" customFormat="1"/>
    <row r="19" spans="1:24"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row>
    <row r="20" spans="1:24"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row>
    <row r="21" spans="1:24"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f>23.813-Q16-Q19-Q20</f>
        <v>0.42299999999999827</v>
      </c>
      <c r="R21" s="20">
        <f>25.691-R16-R19-R20</f>
        <v>0.42299999999999827</v>
      </c>
      <c r="S21" s="20">
        <v>0</v>
      </c>
      <c r="T21" s="20">
        <v>0</v>
      </c>
      <c r="U21" s="20">
        <v>0</v>
      </c>
      <c r="V21" s="20">
        <v>0</v>
      </c>
      <c r="W21" s="20">
        <v>0</v>
      </c>
      <c r="X21" s="20">
        <v>0</v>
      </c>
    </row>
    <row r="22" spans="1:24" s="17" customFormat="1">
      <c r="A22" s="17" t="s">
        <v>58</v>
      </c>
      <c r="B22" s="65">
        <f t="shared" ref="B22" si="8">B16+SUM(B19:B21)</f>
        <v>22.998999999999999</v>
      </c>
      <c r="C22" s="65">
        <f t="shared" ref="C22:D22" si="9">C16+SUM(C19:C21)</f>
        <v>19.777999999999999</v>
      </c>
      <c r="D22" s="65">
        <f t="shared" si="9"/>
        <v>19.815999999999999</v>
      </c>
      <c r="E22" s="65">
        <f t="shared" ref="E22:F22" si="10">E16+SUM(E19:E21)</f>
        <v>20.393999999999998</v>
      </c>
      <c r="F22" s="65">
        <f t="shared" si="10"/>
        <v>23.335000000000001</v>
      </c>
      <c r="G22" s="65">
        <f t="shared" ref="G22:H22" si="11">G16+SUM(G19:G21)</f>
        <v>22.71</v>
      </c>
      <c r="H22" s="65">
        <f t="shared" si="11"/>
        <v>26.248999999999999</v>
      </c>
      <c r="I22" s="65">
        <f t="shared" ref="I22:J22" si="12">I16+SUM(I19:I21)</f>
        <v>23.815000000000001</v>
      </c>
      <c r="J22" s="65">
        <f t="shared" si="12"/>
        <v>21.744</v>
      </c>
      <c r="K22" s="65">
        <f t="shared" ref="K22:P22" si="13">K16+SUM(K19:K21)</f>
        <v>21.381</v>
      </c>
      <c r="L22" s="65">
        <f t="shared" si="13"/>
        <v>30.042999999999999</v>
      </c>
      <c r="M22" s="65">
        <f t="shared" si="13"/>
        <v>29.187999999999999</v>
      </c>
      <c r="N22" s="65">
        <f t="shared" si="13"/>
        <v>27.744</v>
      </c>
      <c r="O22" s="65">
        <f t="shared" si="13"/>
        <v>20.858000000000001</v>
      </c>
      <c r="P22" s="65">
        <f t="shared" si="13"/>
        <v>23.149000000000001</v>
      </c>
      <c r="Q22" s="65">
        <f t="shared" ref="Q22:X22" si="14">Q16+SUM(Q19:Q21)</f>
        <v>23.812999999999999</v>
      </c>
      <c r="R22" s="65">
        <f t="shared" si="14"/>
        <v>25.690999999999999</v>
      </c>
      <c r="S22" s="65">
        <f t="shared" si="14"/>
        <v>19.542999999999999</v>
      </c>
      <c r="T22" s="65">
        <f t="shared" si="14"/>
        <v>24.149000000000001</v>
      </c>
      <c r="U22" s="65">
        <f t="shared" si="14"/>
        <v>26.452999999999999</v>
      </c>
      <c r="V22" s="65">
        <f t="shared" si="14"/>
        <v>25.818999999999999</v>
      </c>
      <c r="W22" s="65">
        <f t="shared" si="14"/>
        <v>26.359000000000002</v>
      </c>
      <c r="X22" s="65">
        <f t="shared" si="14"/>
        <v>29.036999999999999</v>
      </c>
    </row>
    <row r="23" spans="1:24" s="17" customFormat="1">
      <c r="B23" s="27"/>
      <c r="C23" s="27"/>
      <c r="D23" s="27"/>
      <c r="E23" s="27"/>
      <c r="F23" s="27"/>
      <c r="G23" s="27"/>
      <c r="H23" s="27"/>
      <c r="I23" s="27"/>
      <c r="J23" s="27"/>
      <c r="K23" s="27"/>
      <c r="L23" s="27"/>
      <c r="M23" s="27"/>
      <c r="N23" s="27"/>
      <c r="O23" s="27"/>
      <c r="P23" s="27"/>
      <c r="Q23" s="27"/>
      <c r="R23" s="27"/>
      <c r="S23" s="27"/>
      <c r="T23" s="27"/>
      <c r="U23" s="27"/>
      <c r="V23" s="27"/>
      <c r="W23" s="27"/>
      <c r="X23" s="27"/>
    </row>
    <row r="24" spans="1:24" s="17" customFormat="1">
      <c r="A24" s="17" t="s">
        <v>59</v>
      </c>
      <c r="B24" s="27">
        <f t="shared" ref="B24:U24" si="15">SUM(B22:E22)</f>
        <v>82.986999999999995</v>
      </c>
      <c r="C24" s="27">
        <f t="shared" si="15"/>
        <v>83.322999999999993</v>
      </c>
      <c r="D24" s="27">
        <f t="shared" si="15"/>
        <v>86.254999999999995</v>
      </c>
      <c r="E24" s="27">
        <f t="shared" si="15"/>
        <v>92.687999999999988</v>
      </c>
      <c r="F24" s="27">
        <f t="shared" si="15"/>
        <v>96.108999999999995</v>
      </c>
      <c r="G24" s="27">
        <f t="shared" si="15"/>
        <v>94.518000000000001</v>
      </c>
      <c r="H24" s="27">
        <f t="shared" si="15"/>
        <v>93.188999999999993</v>
      </c>
      <c r="I24" s="27">
        <f t="shared" si="15"/>
        <v>96.983000000000004</v>
      </c>
      <c r="J24" s="27">
        <f t="shared" si="15"/>
        <v>102.35600000000001</v>
      </c>
      <c r="K24" s="27">
        <f t="shared" si="15"/>
        <v>108.35599999999999</v>
      </c>
      <c r="L24" s="27">
        <f t="shared" si="15"/>
        <v>107.833</v>
      </c>
      <c r="M24" s="27">
        <f t="shared" si="15"/>
        <v>100.93900000000001</v>
      </c>
      <c r="N24" s="27">
        <f t="shared" si="15"/>
        <v>95.564000000000007</v>
      </c>
      <c r="O24" s="27">
        <f t="shared" si="15"/>
        <v>93.51100000000001</v>
      </c>
      <c r="P24" s="27">
        <f t="shared" si="15"/>
        <v>92.195999999999998</v>
      </c>
      <c r="Q24" s="27">
        <f t="shared" si="15"/>
        <v>93.195999999999998</v>
      </c>
      <c r="R24" s="27">
        <f t="shared" si="15"/>
        <v>95.835999999999999</v>
      </c>
      <c r="S24" s="27">
        <f t="shared" si="15"/>
        <v>95.963999999999999</v>
      </c>
      <c r="T24" s="27">
        <f t="shared" si="15"/>
        <v>102.78</v>
      </c>
      <c r="U24" s="27">
        <f t="shared" si="15"/>
        <v>107.66800000000001</v>
      </c>
      <c r="V24" s="27"/>
      <c r="W24" s="27"/>
      <c r="X24" s="27"/>
    </row>
    <row r="25" spans="1:24" s="24" customFormat="1">
      <c r="A25" s="19" t="s">
        <v>60</v>
      </c>
      <c r="B25" s="28">
        <f t="shared" ref="B25" si="16">B27-B24-B26</f>
        <v>1.4000000000000057</v>
      </c>
      <c r="C25" s="28">
        <f t="shared" ref="C25:D25" si="17">C27-C24-C26</f>
        <v>4.5820000000000078</v>
      </c>
      <c r="D25" s="28">
        <f t="shared" si="17"/>
        <v>6.9939999999999998</v>
      </c>
      <c r="E25" s="28">
        <f t="shared" ref="E25:G25" si="18">E27-E24-E26</f>
        <v>4.1000000000000085</v>
      </c>
      <c r="F25" s="28">
        <f t="shared" si="18"/>
        <v>3.5260000000000105</v>
      </c>
      <c r="G25" s="28">
        <f t="shared" si="18"/>
        <v>3.2000000000000028</v>
      </c>
      <c r="H25" s="28">
        <f t="shared" ref="H25:I25" si="19">H27-H24-H26</f>
        <v>4.2580000000000098</v>
      </c>
      <c r="I25" s="28">
        <f t="shared" si="19"/>
        <v>0</v>
      </c>
      <c r="J25" s="28">
        <f t="shared" ref="J25:O25" si="20">J27-J24-J26</f>
        <v>9.9999999999056399E-4</v>
      </c>
      <c r="K25" s="28">
        <f t="shared" si="20"/>
        <v>2.0000000000095497E-3</v>
      </c>
      <c r="L25" s="28">
        <f t="shared" si="20"/>
        <v>1.9999999999953388E-3</v>
      </c>
      <c r="M25" s="28">
        <f t="shared" si="20"/>
        <v>1.9999999999953388E-3</v>
      </c>
      <c r="N25" s="28">
        <f t="shared" si="20"/>
        <v>9.9999999999056399E-4</v>
      </c>
      <c r="O25" s="28">
        <f t="shared" si="20"/>
        <v>1.4999999999999858</v>
      </c>
      <c r="P25" s="28">
        <f t="shared" ref="P25:U25" si="21">P27-P24-P26</f>
        <v>2.6730000000000018</v>
      </c>
      <c r="Q25" s="28">
        <f t="shared" si="21"/>
        <v>4.6400000000000006</v>
      </c>
      <c r="R25" s="28">
        <f t="shared" si="21"/>
        <v>6.1170000000000044</v>
      </c>
      <c r="S25" s="28">
        <f t="shared" si="21"/>
        <v>7.5949999999999989</v>
      </c>
      <c r="T25" s="28">
        <f t="shared" si="21"/>
        <v>8.5949999999999989</v>
      </c>
      <c r="U25" s="28">
        <f t="shared" si="21"/>
        <v>8.6670000000000016</v>
      </c>
      <c r="V25" s="28"/>
      <c r="W25" s="28"/>
      <c r="X25" s="28"/>
    </row>
    <row r="26" spans="1:24" s="24" customFormat="1">
      <c r="A26" s="19" t="s">
        <v>61</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v>0</v>
      </c>
      <c r="S26" s="29">
        <v>0</v>
      </c>
      <c r="T26" s="29">
        <v>0</v>
      </c>
      <c r="U26" s="29">
        <v>0</v>
      </c>
      <c r="V26" s="30"/>
      <c r="W26" s="30"/>
      <c r="X26" s="30"/>
    </row>
    <row r="27" spans="1:24" s="32" customFormat="1">
      <c r="A27" s="17" t="s">
        <v>62</v>
      </c>
      <c r="B27" s="46">
        <v>84.387</v>
      </c>
      <c r="C27" s="46">
        <v>87.905000000000001</v>
      </c>
      <c r="D27" s="46">
        <v>93.248999999999995</v>
      </c>
      <c r="E27" s="46">
        <v>96.787999999999997</v>
      </c>
      <c r="F27" s="46">
        <v>99.635000000000005</v>
      </c>
      <c r="G27" s="46">
        <v>97.718000000000004</v>
      </c>
      <c r="H27" s="46">
        <v>97.447000000000003</v>
      </c>
      <c r="I27" s="46">
        <v>96.983000000000004</v>
      </c>
      <c r="J27" s="46">
        <v>102.357</v>
      </c>
      <c r="K27" s="46">
        <v>108.358</v>
      </c>
      <c r="L27" s="46">
        <v>107.83499999999999</v>
      </c>
      <c r="M27" s="46">
        <v>100.941</v>
      </c>
      <c r="N27" s="46">
        <v>95.564999999999998</v>
      </c>
      <c r="O27" s="46">
        <v>95.010999999999996</v>
      </c>
      <c r="P27" s="46">
        <v>94.869</v>
      </c>
      <c r="Q27" s="46">
        <v>97.835999999999999</v>
      </c>
      <c r="R27" s="46">
        <v>101.953</v>
      </c>
      <c r="S27" s="46">
        <v>103.559</v>
      </c>
      <c r="T27" s="46">
        <v>111.375</v>
      </c>
      <c r="U27" s="46">
        <f>28.285+27.651+28.532+31.867</f>
        <v>116.33500000000001</v>
      </c>
      <c r="V27" s="31"/>
      <c r="W27" s="31"/>
      <c r="X27" s="31"/>
    </row>
    <row r="28" spans="1:24" s="24" customFormat="1"/>
    <row r="29" spans="1:24" s="17" customFormat="1">
      <c r="A29" s="17" t="s">
        <v>58</v>
      </c>
      <c r="B29" s="27">
        <f t="shared" ref="B29:X29" si="22">B22</f>
        <v>22.998999999999999</v>
      </c>
      <c r="C29" s="27">
        <f t="shared" si="22"/>
        <v>19.777999999999999</v>
      </c>
      <c r="D29" s="27">
        <f t="shared" si="22"/>
        <v>19.815999999999999</v>
      </c>
      <c r="E29" s="27">
        <f t="shared" si="22"/>
        <v>20.393999999999998</v>
      </c>
      <c r="F29" s="27">
        <f t="shared" si="22"/>
        <v>23.335000000000001</v>
      </c>
      <c r="G29" s="27">
        <f t="shared" si="22"/>
        <v>22.71</v>
      </c>
      <c r="H29" s="27">
        <f t="shared" si="22"/>
        <v>26.248999999999999</v>
      </c>
      <c r="I29" s="27">
        <f t="shared" si="22"/>
        <v>23.815000000000001</v>
      </c>
      <c r="J29" s="27">
        <f t="shared" si="22"/>
        <v>21.744</v>
      </c>
      <c r="K29" s="27">
        <f t="shared" si="22"/>
        <v>21.381</v>
      </c>
      <c r="L29" s="27">
        <f t="shared" si="22"/>
        <v>30.042999999999999</v>
      </c>
      <c r="M29" s="27">
        <f t="shared" si="22"/>
        <v>29.187999999999999</v>
      </c>
      <c r="N29" s="27">
        <f t="shared" si="22"/>
        <v>27.744</v>
      </c>
      <c r="O29" s="27">
        <f t="shared" si="22"/>
        <v>20.858000000000001</v>
      </c>
      <c r="P29" s="27">
        <f t="shared" si="22"/>
        <v>23.149000000000001</v>
      </c>
      <c r="Q29" s="27">
        <f t="shared" si="22"/>
        <v>23.812999999999999</v>
      </c>
      <c r="R29" s="27">
        <f t="shared" si="22"/>
        <v>25.690999999999999</v>
      </c>
      <c r="S29" s="27">
        <f t="shared" si="22"/>
        <v>19.542999999999999</v>
      </c>
      <c r="T29" s="27">
        <f t="shared" si="22"/>
        <v>24.149000000000001</v>
      </c>
      <c r="U29" s="27">
        <f t="shared" si="22"/>
        <v>26.452999999999999</v>
      </c>
      <c r="V29" s="27">
        <f t="shared" si="22"/>
        <v>25.818999999999999</v>
      </c>
      <c r="W29" s="27">
        <f t="shared" si="22"/>
        <v>26.359000000000002</v>
      </c>
      <c r="X29" s="27">
        <f t="shared" si="22"/>
        <v>29.036999999999999</v>
      </c>
    </row>
    <row r="30" spans="1:24" s="33" customFormat="1">
      <c r="A30" s="20" t="s">
        <v>63</v>
      </c>
      <c r="B30" s="20">
        <v>-11.1</v>
      </c>
      <c r="C30" s="20">
        <v>-11.4</v>
      </c>
      <c r="D30" s="20">
        <v>-11.8</v>
      </c>
      <c r="E30" s="20">
        <v>-11.7</v>
      </c>
      <c r="F30" s="20">
        <v>-11.7</v>
      </c>
      <c r="G30" s="20">
        <v>-12.6</v>
      </c>
      <c r="H30" s="20">
        <v>-13.3</v>
      </c>
      <c r="I30" s="20">
        <v>-13.3</v>
      </c>
      <c r="J30" s="20">
        <v>-12.9</v>
      </c>
      <c r="K30" s="20">
        <v>-13.6</v>
      </c>
      <c r="L30" s="20">
        <f>-37.655+3.315-3.693-M30-N30</f>
        <v>-11.991000000000001</v>
      </c>
      <c r="M30" s="20">
        <f>-24.642+2.198-3.598-N30</f>
        <v>-15.959999999999999</v>
      </c>
      <c r="N30" s="20">
        <f>-11.381+1.095+0.204</f>
        <v>-10.081999999999999</v>
      </c>
      <c r="O30" s="20">
        <f>-43.312-P30-Q30-R30</f>
        <v>-9.6390000000000029</v>
      </c>
      <c r="P30" s="20">
        <f>-40.632+3.313+3.646-Q30-R30</f>
        <v>-11.688999999999997</v>
      </c>
      <c r="Q30" s="20">
        <f>-27.798+2.2+3.614-R30</f>
        <v>-10.177</v>
      </c>
      <c r="R30" s="20">
        <f>-13.209+1.102+0.3</f>
        <v>-11.806999999999999</v>
      </c>
      <c r="S30" s="20"/>
      <c r="T30" s="20"/>
      <c r="U30" s="20">
        <f>-35.175+3.82-0.076-V30</f>
        <v>-25.800999999999995</v>
      </c>
      <c r="V30" s="20">
        <f>-18.971+1.996+11.345</f>
        <v>-5.6300000000000008</v>
      </c>
      <c r="W30" s="20"/>
      <c r="X30" s="20"/>
    </row>
    <row r="31" spans="1:24" s="33" customFormat="1">
      <c r="A31" s="20" t="s">
        <v>64</v>
      </c>
      <c r="B31" s="20">
        <v>-1.9</v>
      </c>
      <c r="C31" s="20">
        <v>-1</v>
      </c>
      <c r="D31" s="20">
        <v>-1.4</v>
      </c>
      <c r="E31" s="20">
        <v>-1.7</v>
      </c>
      <c r="F31" s="20">
        <v>-2.6</v>
      </c>
      <c r="G31" s="20">
        <v>-2.9</v>
      </c>
      <c r="H31" s="20">
        <v>-1.8</v>
      </c>
      <c r="I31" s="20">
        <v>-2</v>
      </c>
      <c r="J31" s="20">
        <v>-2.5</v>
      </c>
      <c r="K31" s="20">
        <v>-1.9</v>
      </c>
      <c r="L31" s="20">
        <f>-3.705-M31-N31</f>
        <v>-2.3849999999999998</v>
      </c>
      <c r="M31" s="20">
        <f>-1.32-N31</f>
        <v>-9.6999999999999975E-2</v>
      </c>
      <c r="N31" s="20">
        <f>-1.223</f>
        <v>-1.2230000000000001</v>
      </c>
      <c r="O31" s="20">
        <f>-5.985-P31-Q31-R31</f>
        <v>-1.2549999999999997</v>
      </c>
      <c r="P31" s="20">
        <f>-4.73-Q31-R31</f>
        <v>-1.8720000000000006</v>
      </c>
      <c r="Q31" s="20">
        <v>-3.9249999999999998</v>
      </c>
      <c r="R31" s="20">
        <v>1.0669999999999999</v>
      </c>
      <c r="S31" s="20"/>
      <c r="T31" s="20"/>
      <c r="U31" s="20">
        <v>0.123</v>
      </c>
      <c r="V31" s="20">
        <v>-4.4119999999999999</v>
      </c>
      <c r="W31" s="20"/>
      <c r="X31" s="20"/>
    </row>
    <row r="32" spans="1:24" s="33" customFormat="1">
      <c r="A32" s="20" t="s">
        <v>65</v>
      </c>
      <c r="B32" s="20">
        <v>-4.0999999999999996</v>
      </c>
      <c r="C32" s="20">
        <v>-2.6</v>
      </c>
      <c r="D32" s="20">
        <v>17.3</v>
      </c>
      <c r="E32" s="20">
        <v>14.4</v>
      </c>
      <c r="F32" s="20">
        <v>1.5</v>
      </c>
      <c r="G32" s="20">
        <v>17.899999999999999</v>
      </c>
      <c r="H32" s="20">
        <v>14</v>
      </c>
      <c r="I32" s="20">
        <v>-0.9</v>
      </c>
      <c r="J32" s="20">
        <v>-9.6</v>
      </c>
      <c r="K32" s="20">
        <v>2.1</v>
      </c>
      <c r="L32" s="20">
        <f>-17.382-29.699+0.037+1.956-3.532-M32-N32</f>
        <v>-15.737000000000002</v>
      </c>
      <c r="M32" s="20">
        <f>-19.903-27.21+0.272+15.117-1.159-N32</f>
        <v>-9.1140000000000043</v>
      </c>
      <c r="N32" s="20">
        <f>-18.569-8.222+1.034+7.33-5.342</f>
        <v>-23.768999999999998</v>
      </c>
      <c r="O32" s="20">
        <f>-11.847-3.27+2.774+3.929+11.879-4.334-P32-Q32-R32</f>
        <v>9.854000000000001</v>
      </c>
      <c r="P32" s="20">
        <f>-15.71+4.9+3.215-3.579+0.451-Q32-R32</f>
        <v>-2.4830000000000023</v>
      </c>
      <c r="Q32" s="20">
        <f>-20.345+5.897+2.408+1.462+2.338-R32</f>
        <v>1.5570000000000004</v>
      </c>
      <c r="R32" s="20">
        <f>-20.639+6.614-0.759+1.861+3.126</f>
        <v>-9.7969999999999988</v>
      </c>
      <c r="S32" s="20"/>
      <c r="T32" s="20"/>
      <c r="U32" s="20">
        <f>-1.348-1.177-0.768-4.119+2.268-V32</f>
        <v>-2.6740000000000008</v>
      </c>
      <c r="V32" s="20">
        <f>6.155-2.546-0.418-9.314+3.653</f>
        <v>-2.4699999999999993</v>
      </c>
      <c r="W32" s="20"/>
      <c r="X32" s="20"/>
    </row>
    <row r="33" spans="1:29"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c r="T33" s="20"/>
      <c r="U33" s="20">
        <v>0</v>
      </c>
      <c r="V33" s="20">
        <v>0</v>
      </c>
      <c r="W33" s="20"/>
      <c r="X33" s="20"/>
    </row>
    <row r="34" spans="1:29" s="33" customFormat="1">
      <c r="A34" s="20" t="s">
        <v>57</v>
      </c>
      <c r="B34" s="29">
        <v>-4.0999999999999996</v>
      </c>
      <c r="C34" s="29">
        <v>-3.3</v>
      </c>
      <c r="D34" s="29">
        <v>-1.3</v>
      </c>
      <c r="E34" s="29">
        <v>-3.6</v>
      </c>
      <c r="F34" s="29">
        <v>-5.6</v>
      </c>
      <c r="G34" s="29">
        <v>-0.1</v>
      </c>
      <c r="H34" s="29">
        <v>-1.7</v>
      </c>
      <c r="I34" s="29">
        <v>-2.9</v>
      </c>
      <c r="J34" s="29">
        <v>-0.9</v>
      </c>
      <c r="K34" s="29">
        <v>-2.2000000000000002</v>
      </c>
      <c r="L34" s="29">
        <f t="shared" ref="L34:R34" si="23">L35-SUM(L29:L33)</f>
        <v>1.1190000000000015</v>
      </c>
      <c r="M34" s="29">
        <f t="shared" si="23"/>
        <v>-1.2919999999999954</v>
      </c>
      <c r="N34" s="29">
        <f t="shared" si="23"/>
        <v>-2.3130000000000024</v>
      </c>
      <c r="O34" s="29">
        <f t="shared" si="23"/>
        <v>-11.049999999999999</v>
      </c>
      <c r="P34" s="29">
        <f t="shared" si="23"/>
        <v>-5.3050000000000015</v>
      </c>
      <c r="Q34" s="29">
        <f t="shared" si="23"/>
        <v>-1.4439999999999991</v>
      </c>
      <c r="R34" s="29">
        <f t="shared" si="23"/>
        <v>-14.295000000000002</v>
      </c>
      <c r="S34" s="29"/>
      <c r="T34" s="29"/>
      <c r="U34" s="29">
        <f>U35-SUM(U29:U33)</f>
        <v>24.278999999999996</v>
      </c>
      <c r="V34" s="29">
        <f>V35-SUM(V29:V33)</f>
        <v>-7.6350000000000025</v>
      </c>
      <c r="W34" s="29"/>
      <c r="X34" s="29"/>
    </row>
    <row r="35" spans="1:29" s="27" customFormat="1">
      <c r="A35" s="27" t="s">
        <v>67</v>
      </c>
      <c r="B35" s="27">
        <f t="shared" ref="B35:K35" si="24">B29+B30+B31+B32+B33+B34</f>
        <v>1.7989999999999995</v>
      </c>
      <c r="C35" s="27">
        <f t="shared" si="24"/>
        <v>1.4779999999999989</v>
      </c>
      <c r="D35" s="27">
        <f t="shared" si="24"/>
        <v>22.615999999999996</v>
      </c>
      <c r="E35" s="27">
        <f t="shared" si="24"/>
        <v>17.793999999999997</v>
      </c>
      <c r="F35" s="27">
        <f t="shared" si="24"/>
        <v>4.9350000000000023</v>
      </c>
      <c r="G35" s="27">
        <f t="shared" si="24"/>
        <v>25.009999999999998</v>
      </c>
      <c r="H35" s="27">
        <f t="shared" si="24"/>
        <v>23.448999999999998</v>
      </c>
      <c r="I35" s="27">
        <f t="shared" si="24"/>
        <v>4.7149999999999999</v>
      </c>
      <c r="J35" s="27">
        <f t="shared" si="24"/>
        <v>-4.1560000000000006</v>
      </c>
      <c r="K35" s="27">
        <f t="shared" si="24"/>
        <v>5.7809999999999997</v>
      </c>
      <c r="L35" s="27">
        <f>-5.869-M35-N35</f>
        <v>1.0489999999999995</v>
      </c>
      <c r="M35" s="27">
        <f>-6.918-N35</f>
        <v>2.7250000000000005</v>
      </c>
      <c r="N35" s="27">
        <v>-9.6430000000000007</v>
      </c>
      <c r="O35" s="27">
        <f>11.251-P35-Q35-R35</f>
        <v>8.7679999999999989</v>
      </c>
      <c r="P35" s="27">
        <f>2.483-Q35-R35</f>
        <v>1.8000000000000007</v>
      </c>
      <c r="Q35" s="27">
        <f>0.683-R35</f>
        <v>9.8239999999999998</v>
      </c>
      <c r="R35" s="27">
        <v>-9.141</v>
      </c>
      <c r="S35" s="27">
        <f>43.303-45.983-V35-U35-T35</f>
        <v>-45.853999999999999</v>
      </c>
      <c r="T35" s="27">
        <f>43.174-V35-U35</f>
        <v>15.122000000000003</v>
      </c>
      <c r="U35" s="27">
        <f>28.052-V35</f>
        <v>22.38</v>
      </c>
      <c r="V35" s="27">
        <v>5.6719999999999997</v>
      </c>
      <c r="W35" s="27">
        <f>43.046-36.003</f>
        <v>7.0429999999999993</v>
      </c>
      <c r="X35" s="27">
        <f>36.003-11.704</f>
        <v>24.298999999999999</v>
      </c>
    </row>
    <row r="36" spans="1:29" s="33" customFormat="1">
      <c r="A36" s="20" t="s">
        <v>68</v>
      </c>
      <c r="B36" s="29">
        <v>-3.5</v>
      </c>
      <c r="C36" s="29">
        <v>-6.1</v>
      </c>
      <c r="D36" s="29">
        <v>-2.4</v>
      </c>
      <c r="E36" s="29">
        <v>-1.9</v>
      </c>
      <c r="F36" s="29">
        <v>-2.9</v>
      </c>
      <c r="G36" s="29">
        <v>-3.6</v>
      </c>
      <c r="H36" s="29">
        <v>-3.6</v>
      </c>
      <c r="I36" s="29">
        <v>-3.9</v>
      </c>
      <c r="J36" s="29">
        <v>-4.7</v>
      </c>
      <c r="K36" s="29">
        <v>-4.9000000000000004</v>
      </c>
      <c r="L36" s="29">
        <f>-16.246-M36-N36</f>
        <v>-5.0459999999999994</v>
      </c>
      <c r="M36" s="29">
        <f>-11.2-N36</f>
        <v>-5.831999999999999</v>
      </c>
      <c r="N36" s="29">
        <v>-5.3680000000000003</v>
      </c>
      <c r="O36" s="29">
        <f>-24.471+0.952-P36-Q36-R36</f>
        <v>-3.3489999999999966</v>
      </c>
      <c r="P36" s="29">
        <f>-20.17-Q36-R36</f>
        <v>-6.2550000000000026</v>
      </c>
      <c r="Q36" s="29">
        <f>-13.915-R36</f>
        <v>-6.8859999999999992</v>
      </c>
      <c r="R36" s="29">
        <v>-7.0289999999999999</v>
      </c>
      <c r="S36" s="29">
        <f>-10.366-13.725-V36-U36-T36</f>
        <v>-10.366000000000001</v>
      </c>
      <c r="T36" s="29">
        <f>-13.725-V36-U36</f>
        <v>-4.7119999999999997</v>
      </c>
      <c r="U36" s="29">
        <f>-9.013-V36</f>
        <v>-3.9580000000000002</v>
      </c>
      <c r="V36" s="29">
        <v>-5.0549999999999997</v>
      </c>
      <c r="W36" s="29">
        <f>-29.802+22.829</f>
        <v>-6.972999999999999</v>
      </c>
      <c r="X36" s="29">
        <f>-22.829+17.462</f>
        <v>-5.3670000000000009</v>
      </c>
    </row>
    <row r="37" spans="1:29" s="27" customFormat="1">
      <c r="A37" s="27" t="s">
        <v>69</v>
      </c>
      <c r="B37" s="27">
        <f t="shared" ref="B37:Q37" si="25">+B35+B36</f>
        <v>-1.7010000000000005</v>
      </c>
      <c r="C37" s="27">
        <f t="shared" si="25"/>
        <v>-4.6220000000000008</v>
      </c>
      <c r="D37" s="27">
        <f t="shared" si="25"/>
        <v>20.215999999999998</v>
      </c>
      <c r="E37" s="27">
        <f t="shared" si="25"/>
        <v>15.893999999999997</v>
      </c>
      <c r="F37" s="27">
        <f t="shared" si="25"/>
        <v>2.0350000000000024</v>
      </c>
      <c r="G37" s="27">
        <f t="shared" si="25"/>
        <v>21.409999999999997</v>
      </c>
      <c r="H37" s="27">
        <f t="shared" si="25"/>
        <v>19.848999999999997</v>
      </c>
      <c r="I37" s="27">
        <f t="shared" si="25"/>
        <v>0.81499999999999995</v>
      </c>
      <c r="J37" s="27">
        <f t="shared" si="25"/>
        <v>-8.8560000000000016</v>
      </c>
      <c r="K37" s="27">
        <f t="shared" si="25"/>
        <v>0.88099999999999934</v>
      </c>
      <c r="L37" s="27">
        <f t="shared" si="25"/>
        <v>-3.9969999999999999</v>
      </c>
      <c r="M37" s="27">
        <f t="shared" si="25"/>
        <v>-3.1069999999999984</v>
      </c>
      <c r="N37" s="27">
        <f t="shared" si="25"/>
        <v>-15.011000000000001</v>
      </c>
      <c r="O37" s="27">
        <f t="shared" si="25"/>
        <v>5.4190000000000023</v>
      </c>
      <c r="P37" s="27">
        <f t="shared" si="25"/>
        <v>-4.4550000000000018</v>
      </c>
      <c r="Q37" s="27">
        <f t="shared" si="25"/>
        <v>2.9380000000000006</v>
      </c>
      <c r="R37" s="27">
        <f t="shared" ref="R37:X37" si="26">+R35+R36</f>
        <v>-16.170000000000002</v>
      </c>
      <c r="S37" s="27">
        <f t="shared" si="26"/>
        <v>-56.22</v>
      </c>
      <c r="T37" s="27">
        <f t="shared" si="26"/>
        <v>10.410000000000004</v>
      </c>
      <c r="U37" s="27">
        <f t="shared" si="26"/>
        <v>18.421999999999997</v>
      </c>
      <c r="V37" s="27">
        <f t="shared" si="26"/>
        <v>0.61699999999999999</v>
      </c>
      <c r="W37" s="27">
        <f t="shared" si="26"/>
        <v>7.0000000000000284E-2</v>
      </c>
      <c r="X37" s="27">
        <f t="shared" si="26"/>
        <v>18.931999999999999</v>
      </c>
    </row>
    <row r="39" spans="1:29" s="35" customFormat="1">
      <c r="A39" s="34" t="s">
        <v>70</v>
      </c>
      <c r="B39" s="20">
        <v>5.47</v>
      </c>
      <c r="C39" s="20">
        <v>6.2619999999999996</v>
      </c>
      <c r="D39" s="20">
        <v>18.367000000000001</v>
      </c>
      <c r="E39" s="20">
        <v>31.059000000000001</v>
      </c>
      <c r="F39" s="20">
        <v>42.392000000000003</v>
      </c>
      <c r="G39" s="20">
        <v>17.597999999999999</v>
      </c>
      <c r="H39" s="20">
        <v>41.848999999999997</v>
      </c>
      <c r="I39" s="20">
        <v>57.667999999999999</v>
      </c>
      <c r="J39" s="20">
        <v>58.256</v>
      </c>
      <c r="K39" s="20">
        <v>50.564</v>
      </c>
      <c r="L39" s="20">
        <v>52.673999999999999</v>
      </c>
      <c r="M39" s="20">
        <f>47.97</f>
        <v>47.97</v>
      </c>
      <c r="N39" s="20">
        <v>42.387</v>
      </c>
      <c r="O39" s="20">
        <v>29.375</v>
      </c>
      <c r="P39" s="20">
        <v>31.872</v>
      </c>
      <c r="Q39" s="20">
        <v>33.021000000000001</v>
      </c>
      <c r="R39" s="20">
        <v>33.04</v>
      </c>
      <c r="S39" s="20">
        <v>21.67</v>
      </c>
      <c r="T39" s="20">
        <v>18.443000000000001</v>
      </c>
      <c r="U39" s="20">
        <v>53.005000000000003</v>
      </c>
      <c r="V39" s="20"/>
      <c r="W39" s="20"/>
      <c r="X39" s="20"/>
    </row>
    <row r="40" spans="1:29" s="35" customFormat="1">
      <c r="A40" s="34" t="s">
        <v>71</v>
      </c>
      <c r="B40" s="20">
        <f>436.223+14.286+1.694</f>
        <v>452.20300000000003</v>
      </c>
      <c r="C40" s="20">
        <f>437.365+10.83+1.794</f>
        <v>449.98899999999998</v>
      </c>
      <c r="D40" s="20">
        <f>438.507+11.005+1.767</f>
        <v>451.279</v>
      </c>
      <c r="E40" s="20">
        <f>439.649+10.307+1.902</f>
        <v>451.858</v>
      </c>
      <c r="F40" s="20">
        <f>443.9+11.095+2.099</f>
        <v>457.09399999999999</v>
      </c>
      <c r="G40" s="20">
        <f>445.05+13.912+2.465</f>
        <v>461.42699999999996</v>
      </c>
      <c r="H40" s="20">
        <f>446.2+5.533+1.9</f>
        <v>453.63299999999998</v>
      </c>
      <c r="I40" s="20">
        <f>447.35+6.729+1.866</f>
        <v>455.94499999999999</v>
      </c>
      <c r="J40" s="20">
        <f>448.5+1.862+7.309</f>
        <v>457.67100000000005</v>
      </c>
      <c r="K40" s="20">
        <f>449.65+5.533+1.853</f>
        <v>457.036</v>
      </c>
      <c r="L40" s="20">
        <f>450.8+5.932+1.463</f>
        <v>458.19500000000005</v>
      </c>
      <c r="M40" s="20">
        <f>451.95+6.33+1.735</f>
        <v>460.01499999999999</v>
      </c>
      <c r="N40" s="20">
        <f>453.1+7.063+1.487</f>
        <v>461.65000000000003</v>
      </c>
      <c r="O40" s="20">
        <f>454.25+7.196+1.717</f>
        <v>463.16300000000001</v>
      </c>
      <c r="P40" s="20">
        <f>488.94-P39</f>
        <v>457.06799999999998</v>
      </c>
      <c r="Q40" s="20">
        <f>456.549+1.7</f>
        <v>458.24899999999997</v>
      </c>
      <c r="R40" s="20">
        <f>457.7+1.749</f>
        <v>459.44900000000001</v>
      </c>
      <c r="S40" s="20">
        <f>458.85+1.744</f>
        <v>460.59400000000005</v>
      </c>
      <c r="T40" s="20">
        <f>460+1.946</f>
        <v>461.94600000000003</v>
      </c>
      <c r="U40" s="20">
        <f>299.105+1.693</f>
        <v>300.798</v>
      </c>
      <c r="V40" s="20"/>
      <c r="W40" s="20"/>
      <c r="X40" s="20"/>
    </row>
    <row r="41" spans="1:29" s="35" customFormat="1">
      <c r="A41" s="34" t="s">
        <v>72</v>
      </c>
      <c r="B41" s="20">
        <f t="shared" ref="B41:G41" si="27">B39+B40+135</f>
        <v>592.673</v>
      </c>
      <c r="C41" s="20">
        <f t="shared" si="27"/>
        <v>591.25099999999998</v>
      </c>
      <c r="D41" s="20">
        <f t="shared" si="27"/>
        <v>604.64599999999996</v>
      </c>
      <c r="E41" s="20">
        <f t="shared" si="27"/>
        <v>617.91700000000003</v>
      </c>
      <c r="F41" s="20">
        <f t="shared" si="27"/>
        <v>634.48599999999999</v>
      </c>
      <c r="G41" s="20">
        <f t="shared" si="27"/>
        <v>614.02499999999998</v>
      </c>
      <c r="H41" s="20">
        <f t="shared" ref="H41:O41" si="28">H39+H40+135</f>
        <v>630.48199999999997</v>
      </c>
      <c r="I41" s="20">
        <f>I39+I40+135</f>
        <v>648.61299999999994</v>
      </c>
      <c r="J41" s="20">
        <f t="shared" si="28"/>
        <v>650.92700000000002</v>
      </c>
      <c r="K41" s="20">
        <f t="shared" si="28"/>
        <v>642.6</v>
      </c>
      <c r="L41" s="20">
        <f t="shared" si="28"/>
        <v>645.86900000000003</v>
      </c>
      <c r="M41" s="20">
        <f t="shared" si="28"/>
        <v>642.98500000000001</v>
      </c>
      <c r="N41" s="20">
        <f t="shared" si="28"/>
        <v>639.03700000000003</v>
      </c>
      <c r="O41" s="20">
        <f t="shared" si="28"/>
        <v>627.53800000000001</v>
      </c>
      <c r="P41" s="20">
        <v>623.94000000000005</v>
      </c>
      <c r="Q41" s="20">
        <f>Q39+Q40+135</f>
        <v>626.27</v>
      </c>
      <c r="R41" s="20">
        <f>R39+R40+135</f>
        <v>627.48900000000003</v>
      </c>
      <c r="S41" s="20">
        <f>S39+S40+135</f>
        <v>617.26400000000012</v>
      </c>
      <c r="T41" s="20">
        <f>T39+T40+135</f>
        <v>615.38900000000001</v>
      </c>
      <c r="U41" s="20">
        <f>U39+U40+56+425</f>
        <v>834.803</v>
      </c>
      <c r="V41" s="20"/>
      <c r="W41" s="20"/>
      <c r="X41" s="20"/>
    </row>
    <row r="42" spans="1:29" s="35" customFormat="1">
      <c r="A42" s="34" t="s">
        <v>73</v>
      </c>
      <c r="B42" s="36">
        <v>0</v>
      </c>
      <c r="C42" s="36">
        <v>0</v>
      </c>
      <c r="D42" s="36">
        <v>0</v>
      </c>
      <c r="E42" s="36">
        <v>0</v>
      </c>
      <c r="F42" s="36">
        <v>0</v>
      </c>
      <c r="G42" s="36">
        <v>0</v>
      </c>
      <c r="H42" s="36">
        <v>0</v>
      </c>
      <c r="I42" s="36">
        <v>0</v>
      </c>
      <c r="J42" s="36">
        <v>0</v>
      </c>
      <c r="K42" s="36">
        <v>0</v>
      </c>
      <c r="L42" s="36">
        <v>0</v>
      </c>
      <c r="M42" s="36">
        <v>0</v>
      </c>
      <c r="N42" s="36">
        <v>0</v>
      </c>
      <c r="O42" s="36">
        <v>0</v>
      </c>
      <c r="P42" s="36">
        <v>0</v>
      </c>
      <c r="Q42" s="36">
        <v>0</v>
      </c>
      <c r="R42" s="36">
        <v>0</v>
      </c>
      <c r="S42" s="36">
        <v>0</v>
      </c>
      <c r="T42" s="36">
        <v>0</v>
      </c>
      <c r="U42" s="36">
        <v>0</v>
      </c>
      <c r="V42" s="36"/>
      <c r="W42" s="36"/>
      <c r="X42" s="36"/>
    </row>
    <row r="43" spans="1:29">
      <c r="B43" s="35"/>
      <c r="C43" s="35"/>
      <c r="D43" s="35"/>
      <c r="E43" s="35"/>
      <c r="F43" s="35"/>
      <c r="G43" s="35"/>
      <c r="H43" s="35"/>
      <c r="I43" s="35"/>
      <c r="J43" s="35"/>
      <c r="K43" s="35"/>
      <c r="L43" s="35"/>
      <c r="M43" s="35"/>
      <c r="N43" s="35"/>
      <c r="O43" s="35"/>
      <c r="P43" s="35"/>
      <c r="Q43" s="35"/>
      <c r="R43" s="35"/>
      <c r="S43" s="35"/>
    </row>
    <row r="44" spans="1:29">
      <c r="A44" s="19" t="s">
        <v>74</v>
      </c>
      <c r="B44" s="28">
        <v>29.881</v>
      </c>
      <c r="C44" s="28">
        <v>29.864999999999998</v>
      </c>
      <c r="D44" s="28">
        <v>48.091000000000001</v>
      </c>
      <c r="E44" s="28">
        <v>41.451999999999998</v>
      </c>
      <c r="F44" s="28">
        <v>41.944000000000003</v>
      </c>
      <c r="G44" s="28">
        <v>18.963999999999999</v>
      </c>
      <c r="H44" s="28">
        <v>14.029</v>
      </c>
      <c r="I44" s="28">
        <v>11.827</v>
      </c>
      <c r="J44" s="28">
        <f>13.747</f>
        <v>13.747</v>
      </c>
      <c r="K44" s="28">
        <v>14.98</v>
      </c>
      <c r="L44" s="28">
        <v>17.167999999999999</v>
      </c>
      <c r="M44" s="28">
        <v>17.446000000000002</v>
      </c>
      <c r="N44" s="28">
        <v>17.513999999999999</v>
      </c>
      <c r="O44" s="28">
        <v>21.100999999999999</v>
      </c>
      <c r="P44" s="28">
        <v>11.89</v>
      </c>
      <c r="Q44" s="28">
        <f>18.843+2.234</f>
        <v>21.076999999999998</v>
      </c>
      <c r="R44" s="28">
        <f>13.549+1.818</f>
        <v>15.366999999999999</v>
      </c>
      <c r="S44" s="28">
        <f>19.868+1.992</f>
        <v>21.86</v>
      </c>
      <c r="T44" s="28">
        <f>14.092+6.278</f>
        <v>20.37</v>
      </c>
      <c r="U44" s="28">
        <f>43.124+1.819</f>
        <v>44.943000000000005</v>
      </c>
      <c r="V44" s="28"/>
      <c r="W44" s="28"/>
      <c r="X44" s="28"/>
      <c r="AA44" s="35"/>
      <c r="AB44" s="35"/>
      <c r="AC44" s="35"/>
    </row>
    <row r="46" spans="1:29">
      <c r="A46" s="14" t="s">
        <v>75</v>
      </c>
      <c r="B46" s="33">
        <f t="shared" ref="B46:U46" si="29">SUM(B12:E12)</f>
        <v>547.51700000000005</v>
      </c>
      <c r="C46" s="33">
        <f t="shared" si="29"/>
        <v>556.33000000000004</v>
      </c>
      <c r="D46" s="33">
        <f t="shared" si="29"/>
        <v>580.36800000000005</v>
      </c>
      <c r="E46" s="33">
        <f t="shared" si="29"/>
        <v>611.06299999999999</v>
      </c>
      <c r="F46" s="33">
        <f t="shared" si="29"/>
        <v>666.97700000000009</v>
      </c>
      <c r="G46" s="33">
        <f t="shared" si="29"/>
        <v>693.74599999999998</v>
      </c>
      <c r="H46" s="33">
        <f t="shared" si="29"/>
        <v>699.45800000000008</v>
      </c>
      <c r="I46" s="33">
        <f t="shared" si="29"/>
        <v>718.61699999999996</v>
      </c>
      <c r="J46" s="33">
        <f t="shared" si="29"/>
        <v>728.02700000000004</v>
      </c>
      <c r="K46" s="33">
        <f t="shared" si="29"/>
        <v>730.20100000000002</v>
      </c>
      <c r="L46" s="33">
        <f t="shared" si="29"/>
        <v>722.01899999999989</v>
      </c>
      <c r="M46" s="33">
        <f t="shared" si="29"/>
        <v>696.64499999999998</v>
      </c>
      <c r="N46" s="33">
        <f t="shared" si="29"/>
        <v>675.20699999999999</v>
      </c>
      <c r="O46" s="33">
        <f t="shared" si="29"/>
        <v>654.38599999999997</v>
      </c>
      <c r="P46" s="33">
        <f t="shared" si="29"/>
        <v>630.15599999999995</v>
      </c>
      <c r="Q46" s="33">
        <f t="shared" si="29"/>
        <v>612.98599999999999</v>
      </c>
      <c r="R46" s="33">
        <f t="shared" si="29"/>
        <v>600.72299999999996</v>
      </c>
      <c r="S46" s="33">
        <f t="shared" si="29"/>
        <v>585.19999999999993</v>
      </c>
      <c r="T46" s="33">
        <f t="shared" si="29"/>
        <v>607.9</v>
      </c>
      <c r="U46" s="33">
        <f t="shared" si="29"/>
        <v>635.19999999999993</v>
      </c>
    </row>
    <row r="47" spans="1:29">
      <c r="A47" s="14" t="s">
        <v>76</v>
      </c>
      <c r="B47" s="33">
        <f t="shared" ref="B47:C47" si="30">+B27</f>
        <v>84.387</v>
      </c>
      <c r="C47" s="33">
        <f t="shared" si="30"/>
        <v>87.905000000000001</v>
      </c>
      <c r="D47" s="33">
        <f t="shared" ref="D47:E47" si="31">+D27</f>
        <v>93.248999999999995</v>
      </c>
      <c r="E47" s="33">
        <f t="shared" si="31"/>
        <v>96.787999999999997</v>
      </c>
      <c r="F47" s="33">
        <f t="shared" ref="F47:G47" si="32">+F27</f>
        <v>99.635000000000005</v>
      </c>
      <c r="G47" s="33">
        <f t="shared" si="32"/>
        <v>97.718000000000004</v>
      </c>
      <c r="H47" s="33">
        <f t="shared" ref="H47:I47" si="33">+H27</f>
        <v>97.447000000000003</v>
      </c>
      <c r="I47" s="33">
        <f t="shared" si="33"/>
        <v>96.983000000000004</v>
      </c>
      <c r="J47" s="33">
        <f t="shared" ref="J47:O47" si="34">+J27</f>
        <v>102.357</v>
      </c>
      <c r="K47" s="33">
        <f t="shared" si="34"/>
        <v>108.358</v>
      </c>
      <c r="L47" s="33">
        <f t="shared" si="34"/>
        <v>107.83499999999999</v>
      </c>
      <c r="M47" s="33">
        <f t="shared" si="34"/>
        <v>100.941</v>
      </c>
      <c r="N47" s="33">
        <f t="shared" si="34"/>
        <v>95.564999999999998</v>
      </c>
      <c r="O47" s="33">
        <f t="shared" si="34"/>
        <v>95.010999999999996</v>
      </c>
      <c r="P47" s="33">
        <f t="shared" ref="P47:U47" si="35">+P27</f>
        <v>94.869</v>
      </c>
      <c r="Q47" s="33">
        <f t="shared" si="35"/>
        <v>97.835999999999999</v>
      </c>
      <c r="R47" s="33">
        <f t="shared" si="35"/>
        <v>101.953</v>
      </c>
      <c r="S47" s="33">
        <f t="shared" si="35"/>
        <v>103.559</v>
      </c>
      <c r="T47" s="33">
        <f t="shared" si="35"/>
        <v>111.375</v>
      </c>
      <c r="U47" s="33">
        <f t="shared" si="35"/>
        <v>116.33500000000001</v>
      </c>
    </row>
    <row r="48" spans="1:29">
      <c r="A48" s="14" t="s">
        <v>77</v>
      </c>
      <c r="B48" s="33">
        <f t="shared" ref="B48:U48" si="36">+SUM(B37:E37)</f>
        <v>29.786999999999992</v>
      </c>
      <c r="C48" s="33">
        <f t="shared" si="36"/>
        <v>33.522999999999996</v>
      </c>
      <c r="D48" s="33">
        <f t="shared" si="36"/>
        <v>59.554999999999993</v>
      </c>
      <c r="E48" s="33">
        <f t="shared" si="36"/>
        <v>59.187999999999995</v>
      </c>
      <c r="F48" s="33">
        <f t="shared" si="36"/>
        <v>44.108999999999995</v>
      </c>
      <c r="G48" s="33">
        <f t="shared" si="36"/>
        <v>33.217999999999989</v>
      </c>
      <c r="H48" s="33">
        <f t="shared" si="36"/>
        <v>12.688999999999997</v>
      </c>
      <c r="I48" s="33">
        <f t="shared" si="36"/>
        <v>-11.157000000000004</v>
      </c>
      <c r="J48" s="33">
        <f t="shared" si="36"/>
        <v>-15.079000000000001</v>
      </c>
      <c r="K48" s="33">
        <f t="shared" si="36"/>
        <v>-21.234000000000002</v>
      </c>
      <c r="L48" s="33">
        <f t="shared" si="36"/>
        <v>-16.695999999999998</v>
      </c>
      <c r="M48" s="33">
        <f t="shared" si="36"/>
        <v>-17.153999999999996</v>
      </c>
      <c r="N48" s="33">
        <f t="shared" si="36"/>
        <v>-11.109</v>
      </c>
      <c r="O48" s="33">
        <f t="shared" si="36"/>
        <v>-12.268000000000001</v>
      </c>
      <c r="P48" s="33">
        <f t="shared" si="36"/>
        <v>-73.907000000000011</v>
      </c>
      <c r="Q48" s="33">
        <f t="shared" si="36"/>
        <v>-59.041999999999994</v>
      </c>
      <c r="R48" s="33">
        <f t="shared" si="36"/>
        <v>-43.558</v>
      </c>
      <c r="S48" s="33">
        <f t="shared" si="36"/>
        <v>-26.770999999999997</v>
      </c>
      <c r="T48" s="33">
        <f t="shared" si="36"/>
        <v>29.519000000000002</v>
      </c>
      <c r="U48" s="33">
        <f t="shared" si="36"/>
        <v>38.040999999999997</v>
      </c>
    </row>
    <row r="50" spans="1:24" s="37" customFormat="1">
      <c r="A50" s="37" t="s">
        <v>78</v>
      </c>
      <c r="B50" s="37">
        <f t="shared" ref="B50:C50" si="37">+SUM(B39:B40)/B47</f>
        <v>5.4235012501925661</v>
      </c>
      <c r="C50" s="37">
        <f t="shared" si="37"/>
        <v>5.1902735908082587</v>
      </c>
      <c r="D50" s="37">
        <f t="shared" ref="D50:E50" si="38">+SUM(D39:D40)/D47</f>
        <v>5.0364722409891796</v>
      </c>
      <c r="E50" s="37">
        <f t="shared" si="38"/>
        <v>4.9894305079142045</v>
      </c>
      <c r="F50" s="37">
        <f t="shared" ref="F50:G50" si="39">+SUM(F39:F40)/F47</f>
        <v>5.0131580267978118</v>
      </c>
      <c r="G50" s="37">
        <f t="shared" si="39"/>
        <v>4.9021162938250882</v>
      </c>
      <c r="H50" s="37">
        <f t="shared" ref="H50:I50" si="40">+SUM(H39:H40)/H47</f>
        <v>5.084630619721489</v>
      </c>
      <c r="I50" s="37">
        <f t="shared" si="40"/>
        <v>5.2959075301857022</v>
      </c>
      <c r="J50" s="37">
        <f t="shared" ref="J50:K50" si="41">+SUM(J39:J40)/J47</f>
        <v>5.0404662113973639</v>
      </c>
      <c r="K50" s="37">
        <f t="shared" si="41"/>
        <v>4.6844718433341335</v>
      </c>
      <c r="L50" s="37">
        <f t="shared" ref="L50:M50" si="42">+SUM(L39:L40)/L47</f>
        <v>4.7375063754810594</v>
      </c>
      <c r="M50" s="37">
        <f t="shared" si="42"/>
        <v>5.0324942293022659</v>
      </c>
      <c r="N50" s="37">
        <f t="shared" ref="N50:U50" si="43">+SUM(N39:N40)/N47</f>
        <v>5.2742845183906244</v>
      </c>
      <c r="O50" s="37">
        <f t="shared" si="43"/>
        <v>5.1840102724947643</v>
      </c>
      <c r="P50" s="37">
        <f t="shared" si="43"/>
        <v>5.1538437213420609</v>
      </c>
      <c r="Q50" s="37">
        <f t="shared" si="43"/>
        <v>5.021362279733431</v>
      </c>
      <c r="R50" s="37">
        <f t="shared" si="43"/>
        <v>4.8305493707885008</v>
      </c>
      <c r="S50" s="37">
        <f t="shared" si="43"/>
        <v>4.6569008970731671</v>
      </c>
      <c r="T50" s="37">
        <f t="shared" si="43"/>
        <v>4.3132570145903477</v>
      </c>
      <c r="U50" s="37">
        <f t="shared" si="43"/>
        <v>3.0412429621352128</v>
      </c>
    </row>
    <row r="51" spans="1:24" s="37" customFormat="1">
      <c r="A51" s="37" t="s">
        <v>79</v>
      </c>
      <c r="B51" s="37">
        <f t="shared" ref="B51:C51" si="44">+B41/B47</f>
        <v>7.0232737269958641</v>
      </c>
      <c r="C51" s="37">
        <f t="shared" si="44"/>
        <v>6.7260224105568511</v>
      </c>
      <c r="D51" s="37">
        <f t="shared" ref="D51:E51" si="45">+D41/D47</f>
        <v>6.4842089459404386</v>
      </c>
      <c r="E51" s="37">
        <f t="shared" si="45"/>
        <v>6.3842315163036742</v>
      </c>
      <c r="F51" s="37">
        <f t="shared" ref="F51:G51" si="46">+F41/F47</f>
        <v>6.3681035780599187</v>
      </c>
      <c r="G51" s="37">
        <f t="shared" si="46"/>
        <v>6.283642727030843</v>
      </c>
      <c r="H51" s="37">
        <f t="shared" ref="H51:I51" si="47">+H41/H47</f>
        <v>6.4699990764210282</v>
      </c>
      <c r="I51" s="37">
        <f t="shared" si="47"/>
        <v>6.6879040656609909</v>
      </c>
      <c r="J51" s="37">
        <f t="shared" ref="J51:K51" si="48">+J41/J47</f>
        <v>6.3593794269077835</v>
      </c>
      <c r="K51" s="37">
        <f t="shared" si="48"/>
        <v>5.930342014433637</v>
      </c>
      <c r="L51" s="37">
        <f t="shared" ref="L51:U51" si="49">+L41/L47</f>
        <v>5.9894190197987669</v>
      </c>
      <c r="M51" s="37">
        <f t="shared" si="49"/>
        <v>6.3699091548528344</v>
      </c>
      <c r="N51" s="37">
        <f t="shared" si="49"/>
        <v>6.6869355935750541</v>
      </c>
      <c r="O51" s="37">
        <f t="shared" si="49"/>
        <v>6.6048983801875574</v>
      </c>
      <c r="P51" s="37">
        <f t="shared" si="49"/>
        <v>6.5768586155646211</v>
      </c>
      <c r="Q51" s="37">
        <f t="shared" si="49"/>
        <v>6.4012224539024487</v>
      </c>
      <c r="R51" s="37">
        <f t="shared" si="49"/>
        <v>6.1546889252891042</v>
      </c>
      <c r="S51" s="37">
        <f t="shared" si="49"/>
        <v>5.9605056055002477</v>
      </c>
      <c r="T51" s="37">
        <f t="shared" si="49"/>
        <v>5.5253782267115605</v>
      </c>
      <c r="U51" s="37">
        <f t="shared" si="49"/>
        <v>7.1758542141230066</v>
      </c>
    </row>
    <row r="52" spans="1:24" s="37" customFormat="1">
      <c r="A52" s="37" t="s">
        <v>80</v>
      </c>
      <c r="B52" s="37">
        <f t="shared" ref="B52:C52" si="50">+(B41-B44)/B47</f>
        <v>6.6691789019635728</v>
      </c>
      <c r="C52" s="37">
        <f t="shared" si="50"/>
        <v>6.386280643876912</v>
      </c>
      <c r="D52" s="37">
        <f t="shared" ref="D52:E52" si="51">+(D41-D44)/D47</f>
        <v>5.9684822357344309</v>
      </c>
      <c r="E52" s="37">
        <f t="shared" si="51"/>
        <v>5.9559552837128571</v>
      </c>
      <c r="F52" s="37">
        <f t="shared" ref="F52:G52" si="52">+(F41-F44)/F47</f>
        <v>5.9471270135996388</v>
      </c>
      <c r="G52" s="37">
        <f t="shared" si="52"/>
        <v>6.0895740805174059</v>
      </c>
      <c r="H52" s="37">
        <f t="shared" ref="H52:I52" si="53">+(H41-H44)/H47</f>
        <v>6.3260336387985259</v>
      </c>
      <c r="I52" s="37">
        <f t="shared" si="53"/>
        <v>6.5659548580679079</v>
      </c>
      <c r="J52" s="37">
        <f t="shared" ref="J52:K52" si="54">+(J41-J44)/J47</f>
        <v>6.2250749826587342</v>
      </c>
      <c r="K52" s="37">
        <f t="shared" si="54"/>
        <v>5.792096568781262</v>
      </c>
      <c r="L52" s="37">
        <f t="shared" ref="L52:U52" si="55">+(L41-L44)/L47</f>
        <v>5.8302128251495349</v>
      </c>
      <c r="M52" s="37">
        <f t="shared" si="55"/>
        <v>6.1970755193627962</v>
      </c>
      <c r="N52" s="37">
        <f t="shared" si="55"/>
        <v>6.503667660754461</v>
      </c>
      <c r="O52" s="37">
        <f t="shared" si="55"/>
        <v>6.382808306406627</v>
      </c>
      <c r="P52" s="37">
        <f t="shared" si="55"/>
        <v>6.4515278963623528</v>
      </c>
      <c r="Q52" s="37">
        <f t="shared" si="55"/>
        <v>6.185790506562002</v>
      </c>
      <c r="R52" s="37">
        <f t="shared" si="55"/>
        <v>6.0039626102223576</v>
      </c>
      <c r="S52" s="37">
        <f t="shared" si="55"/>
        <v>5.749418206046796</v>
      </c>
      <c r="T52" s="37">
        <f t="shared" si="55"/>
        <v>5.3424826038159372</v>
      </c>
      <c r="U52" s="37">
        <f t="shared" si="55"/>
        <v>6.7895302359565042</v>
      </c>
    </row>
    <row r="53" spans="1:24" s="38" customFormat="1">
      <c r="A53" s="38" t="s">
        <v>81</v>
      </c>
      <c r="B53" s="38">
        <f t="shared" ref="B53:C53" si="56">+B48/B41</f>
        <v>5.0258743016806891E-2</v>
      </c>
      <c r="C53" s="38">
        <f t="shared" si="56"/>
        <v>5.6698424188711724E-2</v>
      </c>
      <c r="D53" s="38">
        <f t="shared" ref="D53:E53" si="57">+D48/D41</f>
        <v>9.8495648693615767E-2</v>
      </c>
      <c r="E53" s="38">
        <f t="shared" si="57"/>
        <v>9.5786327289911086E-2</v>
      </c>
      <c r="F53" s="38">
        <f t="shared" ref="F53:G53" si="58">+F48/F41</f>
        <v>6.9519264412453541E-2</v>
      </c>
      <c r="G53" s="38">
        <f t="shared" si="58"/>
        <v>5.4098774479866441E-2</v>
      </c>
      <c r="H53" s="38">
        <f t="shared" ref="H53:I53" si="59">+H48/H41</f>
        <v>2.012587195193518E-2</v>
      </c>
      <c r="I53" s="38">
        <f t="shared" si="59"/>
        <v>-1.7201320355897901E-2</v>
      </c>
      <c r="J53" s="38">
        <f t="shared" ref="J53:O53" si="60">+J48/J41</f>
        <v>-2.3165424079812331E-2</v>
      </c>
      <c r="K53" s="38">
        <f t="shared" si="60"/>
        <v>-3.3043884220354813E-2</v>
      </c>
      <c r="L53" s="38">
        <f t="shared" si="60"/>
        <v>-2.5850443356160456E-2</v>
      </c>
      <c r="M53" s="38">
        <f t="shared" si="60"/>
        <v>-2.6678693904212378E-2</v>
      </c>
      <c r="N53" s="38">
        <f t="shared" si="60"/>
        <v>-1.7383969942272513E-2</v>
      </c>
      <c r="O53" s="38">
        <f t="shared" si="60"/>
        <v>-1.954941374068184E-2</v>
      </c>
      <c r="P53" s="38">
        <f t="shared" ref="P53:U53" si="61">+P48/P41</f>
        <v>-0.11845209475270059</v>
      </c>
      <c r="Q53" s="38">
        <f t="shared" si="61"/>
        <v>-9.4275631915946789E-2</v>
      </c>
      <c r="R53" s="38">
        <f t="shared" si="61"/>
        <v>-6.9416356302660284E-2</v>
      </c>
      <c r="S53" s="38">
        <f t="shared" si="61"/>
        <v>-4.3370421732030366E-2</v>
      </c>
      <c r="T53" s="38">
        <f t="shared" si="61"/>
        <v>4.7968033227763253E-2</v>
      </c>
      <c r="U53" s="38">
        <f t="shared" si="61"/>
        <v>4.5568834802941528E-2</v>
      </c>
    </row>
    <row r="54" spans="1:24" s="38" customFormat="1">
      <c r="A54" s="39" t="s">
        <v>82</v>
      </c>
      <c r="B54" s="40">
        <v>8.5</v>
      </c>
      <c r="C54" s="40">
        <v>8.5</v>
      </c>
      <c r="D54" s="40">
        <v>8.5</v>
      </c>
      <c r="E54" s="40">
        <v>8.5</v>
      </c>
      <c r="F54" s="40">
        <v>8.5</v>
      </c>
      <c r="G54" s="40">
        <v>8.5</v>
      </c>
      <c r="H54" s="40">
        <v>8.5</v>
      </c>
      <c r="I54" s="40">
        <v>8.5</v>
      </c>
      <c r="J54" s="40">
        <v>8.5</v>
      </c>
      <c r="K54" s="40">
        <v>8.5</v>
      </c>
      <c r="L54" s="40">
        <v>8.5</v>
      </c>
      <c r="M54" s="40">
        <v>8.5</v>
      </c>
      <c r="N54" s="40">
        <v>8.5</v>
      </c>
      <c r="O54" s="40">
        <v>8.5</v>
      </c>
      <c r="P54" s="40">
        <v>8.5</v>
      </c>
      <c r="Q54" s="40">
        <v>8.5</v>
      </c>
      <c r="R54" s="40">
        <v>8.5</v>
      </c>
      <c r="S54" s="40">
        <v>8.5</v>
      </c>
      <c r="T54" s="40">
        <v>8.5</v>
      </c>
      <c r="U54" s="40">
        <v>8.5</v>
      </c>
      <c r="V54" s="39"/>
      <c r="W54" s="39"/>
      <c r="X54" s="39"/>
    </row>
    <row r="55" spans="1:24" s="38" customFormat="1">
      <c r="A55" s="38" t="s">
        <v>83</v>
      </c>
      <c r="B55" s="41" t="str">
        <f t="shared" ref="B55:C55" si="62">IF(B42=0,IF(B54="","","*"&amp;TEXT(B54,"0.0x")),(B41+B42-B44)/B47)</f>
        <v>*8.5x</v>
      </c>
      <c r="C55" s="41" t="str">
        <f t="shared" si="62"/>
        <v>*8.5x</v>
      </c>
      <c r="D55" s="41" t="str">
        <f t="shared" ref="D55:E55" si="63">IF(D42=0,IF(D54="","","*"&amp;TEXT(D54,"0.0x")),(D41+D42-D44)/D47)</f>
        <v>*8.5x</v>
      </c>
      <c r="E55" s="41" t="str">
        <f t="shared" si="63"/>
        <v>*8.5x</v>
      </c>
      <c r="F55" s="41" t="str">
        <f t="shared" ref="F55:G55" si="64">IF(F42=0,IF(F54="","","*"&amp;TEXT(F54,"0.0x")),(F41+F42-F44)/F47)</f>
        <v>*8.5x</v>
      </c>
      <c r="G55" s="41" t="str">
        <f t="shared" si="64"/>
        <v>*8.5x</v>
      </c>
      <c r="H55" s="41" t="str">
        <f t="shared" ref="H55:I55" si="65">IF(H42=0,IF(H54="","","*"&amp;TEXT(H54,"0.0x")),(H41+H42-H44)/H47)</f>
        <v>*8.5x</v>
      </c>
      <c r="I55" s="41" t="str">
        <f t="shared" si="65"/>
        <v>*8.5x</v>
      </c>
      <c r="J55" s="41" t="str">
        <f t="shared" ref="J55:O55" si="66">IF(J42=0,IF(J54="","","*"&amp;TEXT(J54,"0.0x")),(J41+J42-J44)/J47)</f>
        <v>*8.5x</v>
      </c>
      <c r="K55" s="41" t="str">
        <f t="shared" si="66"/>
        <v>*8.5x</v>
      </c>
      <c r="L55" s="41" t="str">
        <f t="shared" si="66"/>
        <v>*8.5x</v>
      </c>
      <c r="M55" s="41" t="str">
        <f t="shared" si="66"/>
        <v>*8.5x</v>
      </c>
      <c r="N55" s="41" t="str">
        <f t="shared" si="66"/>
        <v>*8.5x</v>
      </c>
      <c r="O55" s="41" t="str">
        <f t="shared" si="66"/>
        <v>*8.5x</v>
      </c>
      <c r="P55" s="41" t="str">
        <f t="shared" ref="P55:U55" si="67">IF(P42=0,IF(P54="","","*"&amp;TEXT(P54,"0.0x")),(P41+P42-P44)/P47)</f>
        <v>*8.5x</v>
      </c>
      <c r="Q55" s="41" t="str">
        <f t="shared" si="67"/>
        <v>*8.5x</v>
      </c>
      <c r="R55" s="41" t="str">
        <f t="shared" si="67"/>
        <v>*8.5x</v>
      </c>
      <c r="S55" s="41" t="str">
        <f t="shared" si="67"/>
        <v>*8.5x</v>
      </c>
      <c r="T55" s="41" t="str">
        <f t="shared" si="67"/>
        <v>*8.5x</v>
      </c>
      <c r="U55" s="41" t="str">
        <f t="shared" si="67"/>
        <v>*8.5x</v>
      </c>
      <c r="V55" s="41" t="str">
        <f>IF(V42=0,IF(V54="","",CONCATENATE("* ",V54,"x")),(V41+V42-V44)/V47)</f>
        <v/>
      </c>
      <c r="W55" s="41" t="str">
        <f>IF(W42=0,IF(W54="","",CONCATENATE("* ",W54,"x")),(W41+W42-W44)/W47)</f>
        <v/>
      </c>
      <c r="X55" s="41" t="str">
        <f>IF(X42=0,IF(X54="","",CONCATENATE("* ",X54,"x")),(X41+X42-X44)/X47)</f>
        <v/>
      </c>
    </row>
    <row r="56" spans="1:24">
      <c r="U56" s="42"/>
    </row>
    <row r="57" spans="1:24" ht="80.25" customHeight="1">
      <c r="A57" s="43" t="s">
        <v>84</v>
      </c>
      <c r="B57" s="44" t="s">
        <v>289</v>
      </c>
      <c r="C57" s="44" t="s">
        <v>289</v>
      </c>
      <c r="D57" s="44" t="s">
        <v>289</v>
      </c>
      <c r="E57" s="44" t="s">
        <v>289</v>
      </c>
      <c r="F57" s="44" t="s">
        <v>289</v>
      </c>
      <c r="G57" s="44" t="s">
        <v>546</v>
      </c>
      <c r="H57" s="44" t="s">
        <v>289</v>
      </c>
      <c r="I57" s="44" t="s">
        <v>289</v>
      </c>
      <c r="J57" s="44" t="s">
        <v>289</v>
      </c>
      <c r="K57" s="44" t="s">
        <v>289</v>
      </c>
      <c r="L57" s="44" t="s">
        <v>289</v>
      </c>
      <c r="M57" s="44"/>
      <c r="N57" s="44"/>
      <c r="O57" s="44"/>
      <c r="P57" s="44"/>
      <c r="Q57" s="44"/>
      <c r="R57" s="44"/>
      <c r="S57" s="44"/>
      <c r="T57" s="44"/>
      <c r="U57" s="44"/>
      <c r="V57" s="44"/>
      <c r="W57" s="44"/>
      <c r="X57" s="44"/>
    </row>
    <row r="58" spans="1:24">
      <c r="A58" s="45"/>
      <c r="B58" s="42"/>
      <c r="C58" s="42"/>
      <c r="D58" s="42"/>
      <c r="E58" s="42"/>
      <c r="F58" s="42"/>
      <c r="G58" s="42"/>
      <c r="H58" s="42"/>
      <c r="I58" s="42"/>
      <c r="J58" s="42"/>
      <c r="K58" s="42"/>
      <c r="L58" s="42"/>
      <c r="M58" s="42"/>
      <c r="N58" s="42"/>
      <c r="O58" s="42"/>
      <c r="P58" s="42"/>
      <c r="Q58" s="42"/>
    </row>
    <row r="59" spans="1:24">
      <c r="A59" s="45"/>
    </row>
  </sheetData>
  <pageMargins left="0.7" right="0.7" top="0.75" bottom="0.75" header="0.3" footer="0.3"/>
  <pageSetup orientation="portrait" r:id="rId1"/>
  <ignoredErrors>
    <ignoredError sqref="P46:W48 G46:G47 F46:F47 D48:F56 D46:E47 B46:C47" formulaRange="1"/>
  </ignoredErrors>
  <legacyDrawing r:id="rId2"/>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2:AB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1" width="10.6640625" style="14" customWidth="1"/>
    <col min="12" max="25" width="10.6640625" style="14" hidden="1" customWidth="1"/>
    <col min="26" max="16384" width="9.109375" style="14"/>
  </cols>
  <sheetData>
    <row r="2" spans="1:27">
      <c r="A2" s="13" t="s">
        <v>44</v>
      </c>
      <c r="B2" s="14" t="s">
        <v>43</v>
      </c>
    </row>
    <row r="3" spans="1:27" s="16" customFormat="1">
      <c r="A3" s="15" t="s">
        <v>45</v>
      </c>
      <c r="B3" s="16" t="s">
        <v>85</v>
      </c>
    </row>
    <row r="4" spans="1:27">
      <c r="A4" s="13" t="s">
        <v>2</v>
      </c>
      <c r="B4" s="14" t="s">
        <v>4</v>
      </c>
    </row>
    <row r="5" spans="1:27">
      <c r="A5" s="13" t="s">
        <v>46</v>
      </c>
    </row>
    <row r="6" spans="1:27">
      <c r="A6" s="13" t="s">
        <v>47</v>
      </c>
      <c r="B6" s="14">
        <v>3</v>
      </c>
    </row>
    <row r="7" spans="1:27">
      <c r="A7" s="13" t="s">
        <v>48</v>
      </c>
      <c r="B7" s="14" t="s">
        <v>258</v>
      </c>
    </row>
    <row r="8" spans="1:27">
      <c r="A8" s="13" t="s">
        <v>347</v>
      </c>
      <c r="B8" s="14" t="s">
        <v>375</v>
      </c>
    </row>
    <row r="9" spans="1:27">
      <c r="A9" s="17"/>
    </row>
    <row r="10" spans="1:27">
      <c r="A10" s="17" t="s">
        <v>49</v>
      </c>
      <c r="B10" s="18">
        <v>44377</v>
      </c>
      <c r="C10" s="18">
        <v>44286</v>
      </c>
      <c r="D10" s="18">
        <v>44196</v>
      </c>
      <c r="E10" s="18">
        <v>44104</v>
      </c>
      <c r="F10" s="18">
        <v>44012</v>
      </c>
      <c r="G10" s="18">
        <v>43921</v>
      </c>
      <c r="H10" s="18">
        <v>43830</v>
      </c>
      <c r="I10" s="18">
        <v>43738</v>
      </c>
      <c r="J10" s="18">
        <v>43646</v>
      </c>
      <c r="K10" s="18">
        <v>43555</v>
      </c>
      <c r="L10" s="18">
        <v>43465</v>
      </c>
      <c r="M10" s="18">
        <v>43373</v>
      </c>
      <c r="N10" s="18">
        <v>43281</v>
      </c>
      <c r="O10" s="18">
        <v>43190</v>
      </c>
      <c r="P10" s="18">
        <v>43100</v>
      </c>
      <c r="Q10" s="18">
        <v>43008</v>
      </c>
      <c r="R10" s="18">
        <v>42916</v>
      </c>
      <c r="S10" s="18">
        <v>42825</v>
      </c>
      <c r="T10" s="18">
        <v>42735</v>
      </c>
      <c r="U10" s="18">
        <v>42643</v>
      </c>
      <c r="V10" s="18">
        <v>42551</v>
      </c>
      <c r="W10" s="18">
        <v>42460</v>
      </c>
      <c r="X10" s="18">
        <v>42369</v>
      </c>
      <c r="Y10" s="18">
        <v>42277</v>
      </c>
    </row>
    <row r="12" spans="1:27">
      <c r="A12" s="19" t="s">
        <v>50</v>
      </c>
      <c r="B12" s="20">
        <v>5036</v>
      </c>
      <c r="C12" s="20">
        <v>4774</v>
      </c>
      <c r="D12" s="20">
        <f>16252-E12-F12-G12</f>
        <v>4665</v>
      </c>
      <c r="E12" s="20">
        <v>4221</v>
      </c>
      <c r="F12" s="20">
        <v>3502</v>
      </c>
      <c r="G12" s="20">
        <v>3864</v>
      </c>
      <c r="H12" s="20">
        <f>16648-I12-J12-K12</f>
        <v>4136</v>
      </c>
      <c r="I12" s="20">
        <v>4154</v>
      </c>
      <c r="J12" s="20">
        <v>4238</v>
      </c>
      <c r="K12" s="20">
        <v>4120</v>
      </c>
      <c r="L12" s="20">
        <f>17279-M12-N12-O12</f>
        <v>4388.3999999999996</v>
      </c>
      <c r="M12" s="20">
        <f>4335.1</f>
        <v>4335.1000000000004</v>
      </c>
      <c r="N12" s="20">
        <v>4363.5</v>
      </c>
      <c r="O12" s="20">
        <v>4192</v>
      </c>
      <c r="P12" s="20">
        <f>15380.8-S12-R12-Q12</f>
        <v>4193.8999999999996</v>
      </c>
      <c r="Q12" s="20">
        <v>3887.1</v>
      </c>
      <c r="R12" s="20">
        <v>3760.3</v>
      </c>
      <c r="S12" s="20">
        <v>3539.5</v>
      </c>
      <c r="T12" s="20">
        <f>14619.4-W12-V12-U12</f>
        <v>3676.6000000000004</v>
      </c>
      <c r="U12" s="20">
        <v>3713.8</v>
      </c>
      <c r="V12" s="20">
        <v>3683.3</v>
      </c>
      <c r="W12" s="20">
        <v>3545.7</v>
      </c>
      <c r="X12" s="20">
        <f>7623.2-4281</f>
        <v>3342.2</v>
      </c>
      <c r="Y12" s="20">
        <v>2362.1</v>
      </c>
    </row>
    <row r="13" spans="1:27" s="21" customFormat="1">
      <c r="A13" s="21" t="s">
        <v>51</v>
      </c>
      <c r="B13" s="21">
        <f>+B12/F12-1</f>
        <v>0.43803540833809262</v>
      </c>
      <c r="C13" s="21">
        <f>+C12/G12-1</f>
        <v>0.23550724637681153</v>
      </c>
      <c r="D13" s="21">
        <f>+D12/H12-1</f>
        <v>0.12790135396518365</v>
      </c>
      <c r="E13" s="21">
        <f>+E12/I12-1</f>
        <v>1.6129032258064502E-2</v>
      </c>
      <c r="F13" s="21">
        <f>+F12/J12-1</f>
        <v>-0.17366682397357247</v>
      </c>
      <c r="G13" s="21">
        <f t="shared" ref="G13:U13" si="0">+G12/K12-1</f>
        <v>-6.2135922330097126E-2</v>
      </c>
      <c r="H13" s="21">
        <f t="shared" si="0"/>
        <v>-5.7515267523470914E-2</v>
      </c>
      <c r="I13" s="21">
        <f t="shared" si="0"/>
        <v>-4.1775276233535608E-2</v>
      </c>
      <c r="J13" s="21">
        <f t="shared" si="0"/>
        <v>-2.8761315457774717E-2</v>
      </c>
      <c r="K13" s="21">
        <f t="shared" si="0"/>
        <v>-1.717557251908397E-2</v>
      </c>
      <c r="L13" s="21">
        <f t="shared" si="0"/>
        <v>4.6376880707694523E-2</v>
      </c>
      <c r="M13" s="21">
        <f t="shared" si="0"/>
        <v>0.11525301638753849</v>
      </c>
      <c r="N13" s="21">
        <f t="shared" si="0"/>
        <v>0.16041273302662007</v>
      </c>
      <c r="O13" s="21">
        <f t="shared" si="0"/>
        <v>0.18434807176154822</v>
      </c>
      <c r="P13" s="21">
        <f t="shared" si="0"/>
        <v>0.14070064733721344</v>
      </c>
      <c r="Q13" s="21">
        <f t="shared" si="0"/>
        <v>4.666379449620317E-2</v>
      </c>
      <c r="R13" s="21">
        <f t="shared" si="0"/>
        <v>2.0905166562593225E-2</v>
      </c>
      <c r="S13" s="21">
        <f t="shared" si="0"/>
        <v>-1.7485968920100126E-3</v>
      </c>
      <c r="T13" s="21">
        <f t="shared" si="0"/>
        <v>0.10005385674106893</v>
      </c>
      <c r="U13" s="21">
        <f t="shared" si="0"/>
        <v>0.57224503619660494</v>
      </c>
    </row>
    <row r="14" spans="1:27" s="24" customFormat="1">
      <c r="A14" s="22" t="s">
        <v>52</v>
      </c>
      <c r="B14" s="66" t="s">
        <v>3</v>
      </c>
      <c r="C14" s="66" t="s">
        <v>3</v>
      </c>
      <c r="D14" s="66" t="s">
        <v>3</v>
      </c>
      <c r="E14" s="66" t="s">
        <v>3</v>
      </c>
      <c r="F14" s="66" t="s">
        <v>3</v>
      </c>
      <c r="G14" s="66">
        <v>-3.9E-2</v>
      </c>
      <c r="H14" s="66">
        <v>-2.7E-2</v>
      </c>
      <c r="I14" s="66">
        <v>-5.0000000000000001E-3</v>
      </c>
      <c r="J14" s="66">
        <v>1.2E-2</v>
      </c>
      <c r="K14" s="66">
        <v>2.3E-2</v>
      </c>
      <c r="L14" s="66">
        <v>5.3999999999999999E-2</v>
      </c>
      <c r="M14" s="66">
        <v>0.105</v>
      </c>
      <c r="N14" s="66">
        <v>0.11</v>
      </c>
      <c r="O14" s="66">
        <v>0.11</v>
      </c>
      <c r="P14" s="66">
        <v>0.104</v>
      </c>
      <c r="Q14" s="66" t="s">
        <v>3</v>
      </c>
      <c r="R14" s="66" t="s">
        <v>3</v>
      </c>
      <c r="S14" s="66" t="s">
        <v>3</v>
      </c>
      <c r="T14" s="66" t="s">
        <v>3</v>
      </c>
      <c r="U14" s="66" t="s">
        <v>3</v>
      </c>
      <c r="V14" s="22"/>
      <c r="W14" s="22"/>
      <c r="X14" s="22"/>
      <c r="Y14" s="22"/>
    </row>
    <row r="16" spans="1:27" s="17" customFormat="1">
      <c r="A16" s="25" t="s">
        <v>53</v>
      </c>
      <c r="B16" s="26">
        <f>158+63+46+205+2</f>
        <v>474</v>
      </c>
      <c r="C16" s="26">
        <f>118+8+69+35+192-1</f>
        <v>421</v>
      </c>
      <c r="D16" s="26">
        <f>128+85+33+194-1</f>
        <v>439</v>
      </c>
      <c r="E16" s="26">
        <v>436</v>
      </c>
      <c r="F16" s="26">
        <v>76</v>
      </c>
      <c r="G16" s="26">
        <v>286</v>
      </c>
      <c r="H16" s="26">
        <v>408</v>
      </c>
      <c r="I16" s="26">
        <v>427</v>
      </c>
      <c r="J16" s="26">
        <v>450</v>
      </c>
      <c r="K16" s="26">
        <v>329</v>
      </c>
      <c r="L16" s="26">
        <v>351</v>
      </c>
      <c r="M16" s="26">
        <v>403</v>
      </c>
      <c r="N16" s="26">
        <v>428.9</v>
      </c>
      <c r="O16" s="26">
        <v>323</v>
      </c>
      <c r="P16" s="26">
        <v>314</v>
      </c>
      <c r="Q16" s="26">
        <v>355.4</v>
      </c>
      <c r="R16" s="26">
        <v>350.9</v>
      </c>
      <c r="S16" s="26">
        <v>269</v>
      </c>
      <c r="T16" s="26">
        <v>256.2</v>
      </c>
      <c r="U16" s="26">
        <v>332.9</v>
      </c>
      <c r="V16" s="26">
        <v>333.4</v>
      </c>
      <c r="W16" s="26">
        <v>222.2</v>
      </c>
      <c r="X16" s="26">
        <v>138.5</v>
      </c>
      <c r="Y16" s="26">
        <v>130.1</v>
      </c>
      <c r="AA16" s="14"/>
    </row>
    <row r="17" spans="1:27" s="21" customFormat="1">
      <c r="A17" s="21" t="s">
        <v>54</v>
      </c>
      <c r="B17" s="21">
        <f t="shared" ref="B17:D17" si="1">+B16/B12</f>
        <v>9.412231930103257E-2</v>
      </c>
      <c r="C17" s="21">
        <f t="shared" si="1"/>
        <v>8.8186007540846253E-2</v>
      </c>
      <c r="D17" s="21">
        <f t="shared" si="1"/>
        <v>9.4105037513397646E-2</v>
      </c>
      <c r="E17" s="21">
        <f t="shared" ref="E17:Y17" si="2">+E16/E12</f>
        <v>0.10329305851693911</v>
      </c>
      <c r="F17" s="21">
        <f t="shared" si="2"/>
        <v>2.1701884637350087E-2</v>
      </c>
      <c r="G17" s="21">
        <f t="shared" si="2"/>
        <v>7.4016563146997935E-2</v>
      </c>
      <c r="H17" s="21">
        <f t="shared" si="2"/>
        <v>9.8646034816247577E-2</v>
      </c>
      <c r="I17" s="21">
        <f t="shared" si="2"/>
        <v>0.10279248916706789</v>
      </c>
      <c r="J17" s="21">
        <f t="shared" si="2"/>
        <v>0.10618216139688533</v>
      </c>
      <c r="K17" s="21">
        <f t="shared" si="2"/>
        <v>7.985436893203883E-2</v>
      </c>
      <c r="L17" s="21">
        <f t="shared" si="2"/>
        <v>7.9983593109105827E-2</v>
      </c>
      <c r="M17" s="21">
        <f t="shared" si="2"/>
        <v>9.29621000668958E-2</v>
      </c>
      <c r="N17" s="21">
        <f t="shared" si="2"/>
        <v>9.8292654978801422E-2</v>
      </c>
      <c r="O17" s="21">
        <f t="shared" si="2"/>
        <v>7.7051526717557259E-2</v>
      </c>
      <c r="P17" s="21">
        <f t="shared" si="2"/>
        <v>7.4870645461265178E-2</v>
      </c>
      <c r="Q17" s="21">
        <f t="shared" si="2"/>
        <v>9.1430629518149772E-2</v>
      </c>
      <c r="R17" s="21">
        <f t="shared" si="2"/>
        <v>9.3317022577985784E-2</v>
      </c>
      <c r="S17" s="21">
        <f t="shared" si="2"/>
        <v>7.599943494843904E-2</v>
      </c>
      <c r="T17" s="21">
        <f t="shared" si="2"/>
        <v>6.9683947125061194E-2</v>
      </c>
      <c r="U17" s="21">
        <f t="shared" si="2"/>
        <v>8.9638645053583918E-2</v>
      </c>
      <c r="V17" s="21">
        <f t="shared" si="2"/>
        <v>9.0516656259332653E-2</v>
      </c>
      <c r="W17" s="21">
        <f t="shared" si="2"/>
        <v>6.2667456355585641E-2</v>
      </c>
      <c r="X17" s="21">
        <f t="shared" si="2"/>
        <v>4.1439770211238111E-2</v>
      </c>
      <c r="Y17" s="21">
        <f t="shared" si="2"/>
        <v>5.5078108462808514E-2</v>
      </c>
    </row>
    <row r="18" spans="1:27" s="24" customFormat="1"/>
    <row r="19" spans="1:27" s="24" customFormat="1">
      <c r="A19" s="19" t="s">
        <v>55</v>
      </c>
      <c r="B19" s="20">
        <v>35</v>
      </c>
      <c r="C19" s="20">
        <v>18</v>
      </c>
      <c r="D19" s="20">
        <v>7</v>
      </c>
      <c r="E19" s="20">
        <v>3</v>
      </c>
      <c r="F19" s="20">
        <v>46</v>
      </c>
      <c r="G19" s="20">
        <v>44</v>
      </c>
      <c r="H19" s="20">
        <v>3</v>
      </c>
      <c r="I19" s="20">
        <v>0</v>
      </c>
      <c r="J19" s="20">
        <v>1</v>
      </c>
      <c r="K19" s="20">
        <v>1</v>
      </c>
      <c r="L19" s="20">
        <v>8</v>
      </c>
      <c r="M19" s="20">
        <v>10</v>
      </c>
      <c r="N19" s="20">
        <v>0</v>
      </c>
      <c r="O19" s="20">
        <v>7</v>
      </c>
      <c r="P19" s="20">
        <v>0</v>
      </c>
      <c r="Q19" s="20">
        <v>0</v>
      </c>
      <c r="R19" s="20">
        <v>0</v>
      </c>
      <c r="S19" s="20">
        <v>0</v>
      </c>
      <c r="T19" s="20">
        <v>0</v>
      </c>
      <c r="U19" s="20">
        <v>0</v>
      </c>
      <c r="V19" s="20">
        <v>0</v>
      </c>
      <c r="W19" s="20">
        <v>0</v>
      </c>
      <c r="X19" s="20">
        <v>0</v>
      </c>
      <c r="Y19" s="20">
        <v>0</v>
      </c>
      <c r="AA19" s="144"/>
    </row>
    <row r="20" spans="1:27" s="24" customFormat="1">
      <c r="A20" s="19" t="s">
        <v>56</v>
      </c>
      <c r="B20" s="20">
        <v>-2</v>
      </c>
      <c r="C20" s="20">
        <v>4</v>
      </c>
      <c r="D20" s="20">
        <v>3</v>
      </c>
      <c r="E20" s="20">
        <v>0</v>
      </c>
      <c r="F20" s="20">
        <v>50</v>
      </c>
      <c r="G20" s="20">
        <v>3</v>
      </c>
      <c r="H20" s="20">
        <v>21</v>
      </c>
      <c r="I20" s="20">
        <v>11</v>
      </c>
      <c r="J20" s="20">
        <v>4</v>
      </c>
      <c r="K20" s="20">
        <v>13</v>
      </c>
      <c r="L20" s="20">
        <v>19</v>
      </c>
      <c r="M20" s="20">
        <v>2</v>
      </c>
      <c r="N20" s="20">
        <v>5.9</v>
      </c>
      <c r="O20" s="20">
        <v>0</v>
      </c>
      <c r="P20" s="20">
        <v>23</v>
      </c>
      <c r="Q20" s="20">
        <v>13.4</v>
      </c>
      <c r="R20" s="20">
        <v>14.2</v>
      </c>
      <c r="S20" s="20">
        <v>9.6999999999999993</v>
      </c>
      <c r="T20" s="20">
        <v>17.5</v>
      </c>
      <c r="U20" s="20">
        <v>13.8</v>
      </c>
      <c r="V20" s="20">
        <v>18.600000000000001</v>
      </c>
      <c r="W20" s="20">
        <v>23.2</v>
      </c>
      <c r="X20" s="20">
        <v>76.099999999999994</v>
      </c>
      <c r="Y20" s="20">
        <v>33.1</v>
      </c>
      <c r="AA20" s="144"/>
    </row>
    <row r="21" spans="1:27" s="24" customFormat="1">
      <c r="A21" s="19" t="s">
        <v>57</v>
      </c>
      <c r="B21" s="20">
        <v>0</v>
      </c>
      <c r="C21" s="20">
        <v>0</v>
      </c>
      <c r="D21" s="20">
        <v>0</v>
      </c>
      <c r="E21" s="20">
        <v>0</v>
      </c>
      <c r="F21" s="20">
        <v>0</v>
      </c>
      <c r="G21" s="20">
        <v>0</v>
      </c>
      <c r="H21" s="20">
        <v>0</v>
      </c>
      <c r="I21" s="20">
        <v>0</v>
      </c>
      <c r="J21" s="20">
        <v>0</v>
      </c>
      <c r="K21" s="20">
        <v>0</v>
      </c>
      <c r="L21" s="20">
        <f>26-24</f>
        <v>2</v>
      </c>
      <c r="M21" s="20">
        <v>0</v>
      </c>
      <c r="N21" s="20">
        <v>1.9</v>
      </c>
      <c r="O21" s="20">
        <v>0</v>
      </c>
      <c r="P21" s="20">
        <v>0</v>
      </c>
      <c r="Q21" s="20">
        <v>0.8</v>
      </c>
      <c r="R21" s="20">
        <v>5.7</v>
      </c>
      <c r="S21" s="20">
        <v>11.3</v>
      </c>
      <c r="T21" s="20">
        <v>17.399999999999999</v>
      </c>
      <c r="U21" s="20">
        <v>6</v>
      </c>
      <c r="V21" s="20">
        <v>2.9</v>
      </c>
      <c r="W21" s="20">
        <v>3.9</v>
      </c>
      <c r="X21" s="20">
        <f>6.5-3.5</f>
        <v>3</v>
      </c>
      <c r="Y21" s="20">
        <f>3.3-0.4</f>
        <v>2.9</v>
      </c>
      <c r="AA21" s="144"/>
    </row>
    <row r="22" spans="1:27" s="17" customFormat="1">
      <c r="A22" s="17" t="s">
        <v>58</v>
      </c>
      <c r="B22" s="27">
        <f t="shared" ref="B22" si="3">SUM(B16,B19:B21)</f>
        <v>507</v>
      </c>
      <c r="C22" s="27">
        <f t="shared" ref="C22:D22" si="4">SUM(C16,C19:C21)</f>
        <v>443</v>
      </c>
      <c r="D22" s="27">
        <f t="shared" si="4"/>
        <v>449</v>
      </c>
      <c r="E22" s="27">
        <f t="shared" ref="E22:G22" si="5">SUM(E16,E19:E21)</f>
        <v>439</v>
      </c>
      <c r="F22" s="27">
        <f t="shared" si="5"/>
        <v>172</v>
      </c>
      <c r="G22" s="27">
        <f t="shared" si="5"/>
        <v>333</v>
      </c>
      <c r="H22" s="27">
        <f t="shared" ref="H22:Y22" si="6">SUM(H16,H19:H21)</f>
        <v>432</v>
      </c>
      <c r="I22" s="27">
        <f t="shared" si="6"/>
        <v>438</v>
      </c>
      <c r="J22" s="27">
        <f t="shared" si="6"/>
        <v>455</v>
      </c>
      <c r="K22" s="27">
        <f t="shared" si="6"/>
        <v>343</v>
      </c>
      <c r="L22" s="27">
        <f t="shared" si="6"/>
        <v>380</v>
      </c>
      <c r="M22" s="27">
        <f t="shared" si="6"/>
        <v>415</v>
      </c>
      <c r="N22" s="27">
        <f t="shared" si="6"/>
        <v>436.69999999999993</v>
      </c>
      <c r="O22" s="27">
        <f t="shared" si="6"/>
        <v>330</v>
      </c>
      <c r="P22" s="27">
        <f t="shared" si="6"/>
        <v>337</v>
      </c>
      <c r="Q22" s="27">
        <f t="shared" si="6"/>
        <v>369.59999999999997</v>
      </c>
      <c r="R22" s="27">
        <f t="shared" si="6"/>
        <v>370.79999999999995</v>
      </c>
      <c r="S22" s="27">
        <f t="shared" si="6"/>
        <v>290</v>
      </c>
      <c r="T22" s="27">
        <f t="shared" si="6"/>
        <v>291.09999999999997</v>
      </c>
      <c r="U22" s="27">
        <f t="shared" si="6"/>
        <v>352.7</v>
      </c>
      <c r="V22" s="27">
        <f t="shared" si="6"/>
        <v>354.9</v>
      </c>
      <c r="W22" s="27">
        <f t="shared" si="6"/>
        <v>249.29999999999998</v>
      </c>
      <c r="X22" s="27">
        <f t="shared" si="6"/>
        <v>217.6</v>
      </c>
      <c r="Y22" s="27">
        <f t="shared" si="6"/>
        <v>166.1</v>
      </c>
    </row>
    <row r="23" spans="1:27" s="17" customFormat="1">
      <c r="B23" s="21"/>
      <c r="C23" s="21"/>
      <c r="D23" s="21"/>
      <c r="E23" s="21"/>
      <c r="F23" s="21"/>
      <c r="G23" s="21"/>
      <c r="H23" s="21"/>
      <c r="I23" s="21"/>
      <c r="J23" s="21"/>
      <c r="K23" s="21"/>
      <c r="L23" s="21"/>
      <c r="M23" s="21"/>
      <c r="N23" s="21"/>
      <c r="O23" s="21"/>
      <c r="P23" s="21"/>
      <c r="Q23" s="27"/>
      <c r="R23" s="27"/>
      <c r="S23" s="27"/>
      <c r="T23" s="27"/>
      <c r="U23" s="27"/>
      <c r="V23" s="27"/>
      <c r="W23" s="27"/>
      <c r="X23" s="27"/>
      <c r="Y23" s="27"/>
    </row>
    <row r="24" spans="1:27" s="17" customFormat="1">
      <c r="A24" s="17" t="s">
        <v>59</v>
      </c>
      <c r="B24" s="27">
        <f t="shared" ref="B24:V24" si="7">SUM(B22:E22)</f>
        <v>1838</v>
      </c>
      <c r="C24" s="27">
        <f t="shared" si="7"/>
        <v>1503</v>
      </c>
      <c r="D24" s="27">
        <f t="shared" si="7"/>
        <v>1393</v>
      </c>
      <c r="E24" s="27">
        <f t="shared" si="7"/>
        <v>1376</v>
      </c>
      <c r="F24" s="27">
        <f t="shared" si="7"/>
        <v>1375</v>
      </c>
      <c r="G24" s="27">
        <f t="shared" si="7"/>
        <v>1658</v>
      </c>
      <c r="H24" s="27">
        <f t="shared" si="7"/>
        <v>1668</v>
      </c>
      <c r="I24" s="27">
        <f t="shared" si="7"/>
        <v>1616</v>
      </c>
      <c r="J24" s="27">
        <f t="shared" si="7"/>
        <v>1593</v>
      </c>
      <c r="K24" s="27">
        <f t="shared" si="7"/>
        <v>1574.6999999999998</v>
      </c>
      <c r="L24" s="27">
        <f t="shared" si="7"/>
        <v>1561.6999999999998</v>
      </c>
      <c r="M24" s="27">
        <f t="shared" si="7"/>
        <v>1518.6999999999998</v>
      </c>
      <c r="N24" s="27">
        <f t="shared" si="7"/>
        <v>1473.2999999999997</v>
      </c>
      <c r="O24" s="27">
        <f t="shared" si="7"/>
        <v>1407.3999999999999</v>
      </c>
      <c r="P24" s="27">
        <f t="shared" si="7"/>
        <v>1367.3999999999999</v>
      </c>
      <c r="Q24" s="27">
        <f t="shared" si="7"/>
        <v>1321.4999999999998</v>
      </c>
      <c r="R24" s="27">
        <f t="shared" si="7"/>
        <v>1304.5999999999999</v>
      </c>
      <c r="S24" s="27">
        <f t="shared" si="7"/>
        <v>1288.6999999999998</v>
      </c>
      <c r="T24" s="27">
        <f t="shared" si="7"/>
        <v>1248</v>
      </c>
      <c r="U24" s="27">
        <f t="shared" si="7"/>
        <v>1174.4999999999998</v>
      </c>
      <c r="V24" s="27">
        <f t="shared" si="7"/>
        <v>987.9</v>
      </c>
      <c r="W24" s="27"/>
      <c r="X24" s="27"/>
      <c r="Y24" s="27"/>
    </row>
    <row r="25" spans="1:27" s="24" customFormat="1">
      <c r="A25" s="19" t="s">
        <v>60</v>
      </c>
      <c r="B25" s="28">
        <v>0</v>
      </c>
      <c r="C25" s="28">
        <v>0</v>
      </c>
      <c r="D25" s="28">
        <v>0</v>
      </c>
      <c r="E25" s="28">
        <v>0</v>
      </c>
      <c r="F25" s="28">
        <v>0</v>
      </c>
      <c r="G25" s="28">
        <v>0</v>
      </c>
      <c r="H25" s="28">
        <v>0</v>
      </c>
      <c r="I25" s="28">
        <v>0</v>
      </c>
      <c r="J25" s="28">
        <v>0</v>
      </c>
      <c r="K25" s="28">
        <v>0</v>
      </c>
      <c r="L25" s="28">
        <v>0</v>
      </c>
      <c r="M25" s="28">
        <v>0</v>
      </c>
      <c r="N25" s="28">
        <v>0</v>
      </c>
      <c r="O25" s="28">
        <v>0</v>
      </c>
      <c r="P25" s="28">
        <v>0</v>
      </c>
      <c r="Q25" s="28">
        <v>0</v>
      </c>
      <c r="R25" s="28">
        <v>0</v>
      </c>
      <c r="S25" s="28">
        <v>0</v>
      </c>
      <c r="T25" s="28">
        <v>0</v>
      </c>
      <c r="U25" s="28">
        <v>0</v>
      </c>
      <c r="V25" s="28">
        <v>0</v>
      </c>
      <c r="W25" s="28"/>
      <c r="X25" s="28"/>
      <c r="Y25" s="28"/>
    </row>
    <row r="26" spans="1:27" s="24" customFormat="1">
      <c r="A26" s="19" t="s">
        <v>61</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v>0</v>
      </c>
      <c r="S26" s="29">
        <v>0</v>
      </c>
      <c r="T26" s="29">
        <v>0</v>
      </c>
      <c r="U26" s="29">
        <v>0</v>
      </c>
      <c r="V26" s="29">
        <v>0</v>
      </c>
      <c r="W26" s="30"/>
      <c r="X26" s="30"/>
      <c r="Y26" s="30"/>
    </row>
    <row r="27" spans="1:27" s="32" customFormat="1">
      <c r="A27" s="17" t="s">
        <v>62</v>
      </c>
      <c r="B27" s="27">
        <f t="shared" ref="B27:C27" si="8">SUM(B24:B26)</f>
        <v>1838</v>
      </c>
      <c r="C27" s="27">
        <f t="shared" si="8"/>
        <v>1503</v>
      </c>
      <c r="D27" s="27">
        <f t="shared" ref="D27:E27" si="9">SUM(D24:D26)</f>
        <v>1393</v>
      </c>
      <c r="E27" s="27">
        <f t="shared" si="9"/>
        <v>1376</v>
      </c>
      <c r="F27" s="27">
        <f t="shared" ref="F27:G27" si="10">SUM(F24:F26)</f>
        <v>1375</v>
      </c>
      <c r="G27" s="27">
        <f t="shared" si="10"/>
        <v>1658</v>
      </c>
      <c r="H27" s="27">
        <f t="shared" ref="H27:J27" si="11">SUM(H24:H26)</f>
        <v>1668</v>
      </c>
      <c r="I27" s="27">
        <f t="shared" si="11"/>
        <v>1616</v>
      </c>
      <c r="J27" s="27">
        <f t="shared" si="11"/>
        <v>1593</v>
      </c>
      <c r="K27" s="27">
        <f t="shared" ref="K27:L27" si="12">SUM(K24:K26)</f>
        <v>1574.6999999999998</v>
      </c>
      <c r="L27" s="27">
        <f t="shared" si="12"/>
        <v>1561.6999999999998</v>
      </c>
      <c r="M27" s="27">
        <f t="shared" ref="M27:V27" si="13">SUM(M24:M26)</f>
        <v>1518.6999999999998</v>
      </c>
      <c r="N27" s="27">
        <f t="shared" si="13"/>
        <v>1473.2999999999997</v>
      </c>
      <c r="O27" s="27">
        <f t="shared" si="13"/>
        <v>1407.3999999999999</v>
      </c>
      <c r="P27" s="27">
        <f t="shared" si="13"/>
        <v>1367.3999999999999</v>
      </c>
      <c r="Q27" s="27">
        <f t="shared" si="13"/>
        <v>1321.4999999999998</v>
      </c>
      <c r="R27" s="27">
        <f t="shared" si="13"/>
        <v>1304.5999999999999</v>
      </c>
      <c r="S27" s="27">
        <f t="shared" si="13"/>
        <v>1288.6999999999998</v>
      </c>
      <c r="T27" s="27">
        <f t="shared" si="13"/>
        <v>1248</v>
      </c>
      <c r="U27" s="27">
        <f t="shared" si="13"/>
        <v>1174.4999999999998</v>
      </c>
      <c r="V27" s="27">
        <f t="shared" si="13"/>
        <v>987.9</v>
      </c>
      <c r="W27" s="31"/>
      <c r="X27" s="31"/>
      <c r="Y27" s="31"/>
    </row>
    <row r="28" spans="1:27" s="24" customFormat="1"/>
    <row r="29" spans="1:27" s="17" customFormat="1">
      <c r="A29" s="17" t="s">
        <v>58</v>
      </c>
      <c r="B29" s="27">
        <f t="shared" ref="B29:C29" si="14">B22</f>
        <v>507</v>
      </c>
      <c r="C29" s="27">
        <f t="shared" si="14"/>
        <v>443</v>
      </c>
      <c r="D29" s="27">
        <f t="shared" ref="D29:E29" si="15">D22</f>
        <v>449</v>
      </c>
      <c r="E29" s="27">
        <f t="shared" si="15"/>
        <v>439</v>
      </c>
      <c r="F29" s="27">
        <f t="shared" ref="F29:G29" si="16">F22</f>
        <v>172</v>
      </c>
      <c r="G29" s="27">
        <f t="shared" si="16"/>
        <v>333</v>
      </c>
      <c r="H29" s="27">
        <f t="shared" ref="H29:K29" si="17">H22</f>
        <v>432</v>
      </c>
      <c r="I29" s="27">
        <f t="shared" si="17"/>
        <v>438</v>
      </c>
      <c r="J29" s="27">
        <f t="shared" si="17"/>
        <v>455</v>
      </c>
      <c r="K29" s="27">
        <f t="shared" si="17"/>
        <v>343</v>
      </c>
      <c r="L29" s="27">
        <f t="shared" ref="L29:Q29" si="18">L22</f>
        <v>380</v>
      </c>
      <c r="M29" s="27">
        <f t="shared" si="18"/>
        <v>415</v>
      </c>
      <c r="N29" s="27">
        <f t="shared" si="18"/>
        <v>436.69999999999993</v>
      </c>
      <c r="O29" s="27">
        <f t="shared" si="18"/>
        <v>330</v>
      </c>
      <c r="P29" s="27">
        <f t="shared" si="18"/>
        <v>337</v>
      </c>
      <c r="Q29" s="27">
        <f t="shared" si="18"/>
        <v>369.59999999999997</v>
      </c>
      <c r="R29" s="27">
        <f t="shared" ref="R29:Y29" si="19">R22</f>
        <v>370.79999999999995</v>
      </c>
      <c r="S29" s="27">
        <f t="shared" si="19"/>
        <v>290</v>
      </c>
      <c r="T29" s="27">
        <f t="shared" si="19"/>
        <v>291.09999999999997</v>
      </c>
      <c r="U29" s="27">
        <f t="shared" si="19"/>
        <v>352.7</v>
      </c>
      <c r="V29" s="27">
        <f t="shared" si="19"/>
        <v>354.9</v>
      </c>
      <c r="W29" s="27">
        <f t="shared" si="19"/>
        <v>249.29999999999998</v>
      </c>
      <c r="X29" s="27">
        <f t="shared" si="19"/>
        <v>217.6</v>
      </c>
      <c r="Y29" s="27">
        <f t="shared" si="19"/>
        <v>166.1</v>
      </c>
    </row>
    <row r="30" spans="1:27" s="33" customFormat="1">
      <c r="A30" s="20" t="s">
        <v>63</v>
      </c>
      <c r="B30" s="20">
        <f>-136-C30</f>
        <v>-60</v>
      </c>
      <c r="C30" s="20">
        <v>-76</v>
      </c>
      <c r="D30" s="20">
        <f>-323-E30-F30-G30</f>
        <v>-108</v>
      </c>
      <c r="E30" s="20">
        <f>-215-F30-G30</f>
        <v>-66</v>
      </c>
      <c r="F30" s="20">
        <f>-149-G30</f>
        <v>-73</v>
      </c>
      <c r="G30" s="20">
        <v>-76</v>
      </c>
      <c r="H30" s="20">
        <f>-282-I30-J30-K30</f>
        <v>-80</v>
      </c>
      <c r="I30" s="20">
        <f>-202-J30-K30</f>
        <v>-77</v>
      </c>
      <c r="J30" s="20">
        <f>-125-K30</f>
        <v>-76</v>
      </c>
      <c r="K30" s="20">
        <v>-49</v>
      </c>
      <c r="L30" s="20">
        <f>-233-M30-N30-O30</f>
        <v>-61</v>
      </c>
      <c r="M30" s="20">
        <f>-172-N30-O30</f>
        <v>-47.099999999999994</v>
      </c>
      <c r="N30" s="20">
        <f>-124.9-O30</f>
        <v>-81.900000000000006</v>
      </c>
      <c r="O30" s="20">
        <v>-43</v>
      </c>
      <c r="P30" s="20">
        <f>-274.2-S30-R30-Q30</f>
        <v>-97.699999999999989</v>
      </c>
      <c r="Q30" s="20">
        <f>-176.5-S30-R30</f>
        <v>-43.900000000000006</v>
      </c>
      <c r="R30" s="20">
        <f>-132.6-S30</f>
        <v>-84.1</v>
      </c>
      <c r="S30" s="20">
        <v>-48.5</v>
      </c>
      <c r="T30" s="20">
        <f>-363.1-W30-V30-U30</f>
        <v>-103.99999999999997</v>
      </c>
      <c r="U30" s="20">
        <f>-259.1-W30-V30</f>
        <v>-80.700000000000017</v>
      </c>
      <c r="V30" s="20">
        <f>-178.4-W30</f>
        <v>-105.80000000000001</v>
      </c>
      <c r="W30" s="20">
        <v>-72.599999999999994</v>
      </c>
      <c r="X30" s="20">
        <f>-168.2+93.5</f>
        <v>-74.699999999999989</v>
      </c>
      <c r="Y30" s="20">
        <f>-93.5+48.9</f>
        <v>-44.6</v>
      </c>
    </row>
    <row r="31" spans="1:27" s="33" customFormat="1">
      <c r="A31" s="20" t="s">
        <v>64</v>
      </c>
      <c r="B31" s="20">
        <f>-65-C31</f>
        <v>-58</v>
      </c>
      <c r="C31" s="20">
        <v>-7</v>
      </c>
      <c r="D31" s="20">
        <f>-65-E31-F31-G31</f>
        <v>-45</v>
      </c>
      <c r="E31" s="20">
        <f>-20-F31-G31</f>
        <v>-10</v>
      </c>
      <c r="F31" s="20">
        <f>-10-G31</f>
        <v>-3</v>
      </c>
      <c r="G31" s="20">
        <v>-7</v>
      </c>
      <c r="H31" s="20">
        <f>-121-I31-J31-K31</f>
        <v>-32</v>
      </c>
      <c r="I31" s="20">
        <f>-89-J31-K31</f>
        <v>-31</v>
      </c>
      <c r="J31" s="20">
        <f>-58-K31</f>
        <v>-50</v>
      </c>
      <c r="K31" s="20">
        <v>-8</v>
      </c>
      <c r="L31" s="20">
        <f>-70-M31-N31-O31</f>
        <v>-24.1</v>
      </c>
      <c r="M31" s="20">
        <f>-45.9-N31-O31</f>
        <v>-19.399999999999999</v>
      </c>
      <c r="N31" s="20">
        <f>-26.5-O31</f>
        <v>-23.5</v>
      </c>
      <c r="O31" s="20">
        <v>-3</v>
      </c>
      <c r="P31" s="20">
        <f>-78.5-S31-R31-Q31</f>
        <v>-18.600000000000001</v>
      </c>
      <c r="Q31" s="20">
        <f>-59.9-S31-R31</f>
        <v>-18.5</v>
      </c>
      <c r="R31" s="20">
        <f>-41.4-S31</f>
        <v>-22.5</v>
      </c>
      <c r="S31" s="20">
        <v>-18.899999999999999</v>
      </c>
      <c r="T31" s="20">
        <f>-40.7-W31-V31-U31</f>
        <v>1</v>
      </c>
      <c r="U31" s="20">
        <f>-41.7-W31-V31</f>
        <v>-14.800000000000008</v>
      </c>
      <c r="V31" s="20">
        <f>-26.9-W31</f>
        <v>-22.099999999999998</v>
      </c>
      <c r="W31" s="20">
        <v>-4.8</v>
      </c>
      <c r="X31" s="20">
        <f>-14.5+0.5</f>
        <v>-14</v>
      </c>
      <c r="Y31" s="20">
        <f>-0.5+12.1</f>
        <v>11.6</v>
      </c>
    </row>
    <row r="32" spans="1:27" s="33" customFormat="1">
      <c r="A32" s="20" t="s">
        <v>65</v>
      </c>
      <c r="B32" s="20">
        <f>-240-77-21+187-C32</f>
        <v>-22</v>
      </c>
      <c r="C32" s="20">
        <f>-196-21+12+76</f>
        <v>-129</v>
      </c>
      <c r="D32" s="20">
        <f>-382+28+69+337-E32-F32-G32</f>
        <v>-34</v>
      </c>
      <c r="E32" s="20">
        <f>-152-52-105+395-F32-G32</f>
        <v>14</v>
      </c>
      <c r="F32" s="20">
        <f>186-84-277+247-G32</f>
        <v>94</v>
      </c>
      <c r="G32" s="20">
        <f>44-16-69+19</f>
        <v>-22</v>
      </c>
      <c r="H32" s="20">
        <f>-67-47-120-213-I32-J32-K32</f>
        <v>34</v>
      </c>
      <c r="I32" s="20">
        <f>-190-12-153-126-J32-K32</f>
        <v>-39</v>
      </c>
      <c r="J32" s="20">
        <f>-289-23-81-49-K32</f>
        <v>-102</v>
      </c>
      <c r="K32" s="20">
        <f>-246-30-57-7</f>
        <v>-340</v>
      </c>
      <c r="L32" s="20">
        <f>-13-49+35-123-M32-N32-O32</f>
        <v>301.3</v>
      </c>
      <c r="M32" s="20">
        <f>-262-98.5-4.1-86.7-N32-O32</f>
        <v>-98.400000000000034</v>
      </c>
      <c r="N32" s="20">
        <f>-178.7-102.8-44.2-27.2-O32</f>
        <v>-64.899999999999977</v>
      </c>
      <c r="O32" s="20">
        <f>-100-90-55-43</f>
        <v>-288</v>
      </c>
      <c r="P32" s="20">
        <f>-320-92+140+1-Q32-R32-S32</f>
        <v>-3.1999999999999886</v>
      </c>
      <c r="Q32" s="20">
        <f>-199.8-45.4+48.6-71.2-R32-S32</f>
        <v>-7.8000000000000114</v>
      </c>
      <c r="R32" s="20">
        <f>-112.5-31.7-11.6-104.2-S32</f>
        <v>-50</v>
      </c>
      <c r="S32" s="20">
        <f>-15.2-53.1-56.2-85.5</f>
        <v>-210</v>
      </c>
      <c r="T32" s="20">
        <f>-153.7+17.2+1.7-55.7-W32-V32-U32</f>
        <v>46</v>
      </c>
      <c r="U32" s="20">
        <f>-79-72.5-150.7+65.7-W32-V32</f>
        <v>-120</v>
      </c>
      <c r="V32" s="20">
        <f>5.5-52.8-78.4+9.2-W32</f>
        <v>12.599999999999994</v>
      </c>
      <c r="W32" s="20">
        <f>30.9-65.8-90.5-3.7</f>
        <v>-129.1</v>
      </c>
      <c r="X32" s="20">
        <f>7.8-35.3-51.3+43.5-(-2.3+32.5-59.9+14.5)</f>
        <v>-20.099999999999998</v>
      </c>
      <c r="Y32" s="20">
        <f>-2.3+32.5-59.9+14.5-(-10.7+2.2-22.8+0.9)</f>
        <v>15.200000000000003</v>
      </c>
    </row>
    <row r="33" spans="1:28"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c r="W33" s="20">
        <v>0</v>
      </c>
      <c r="X33" s="20">
        <v>0</v>
      </c>
      <c r="Y33" s="20">
        <v>0</v>
      </c>
    </row>
    <row r="34" spans="1:28"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c r="X34" s="29">
        <v>0</v>
      </c>
      <c r="Y34" s="29">
        <v>0</v>
      </c>
    </row>
    <row r="35" spans="1:28" s="27" customFormat="1">
      <c r="A35" s="27" t="s">
        <v>67</v>
      </c>
      <c r="B35" s="27">
        <f>539-C35</f>
        <v>366</v>
      </c>
      <c r="C35" s="27">
        <v>173</v>
      </c>
      <c r="D35" s="27">
        <f>885-E35-F35-G35</f>
        <v>193</v>
      </c>
      <c r="E35" s="27">
        <f>692-F35-G35</f>
        <v>298</v>
      </c>
      <c r="F35" s="27">
        <f>394-G35</f>
        <v>214</v>
      </c>
      <c r="G35" s="27">
        <v>180</v>
      </c>
      <c r="H35" s="27">
        <f>791-I35-J35-K35</f>
        <v>349</v>
      </c>
      <c r="I35" s="27">
        <f>442-J35-K35</f>
        <v>278</v>
      </c>
      <c r="J35" s="27">
        <f>164-K35</f>
        <v>260</v>
      </c>
      <c r="K35" s="27">
        <v>-96</v>
      </c>
      <c r="L35" s="27">
        <f>1102-M35-O35-N35</f>
        <v>565.79999999999995</v>
      </c>
      <c r="M35" s="27">
        <f>536.2-O35-N35</f>
        <v>288.20000000000005</v>
      </c>
      <c r="N35" s="27">
        <f>248-O35</f>
        <v>267</v>
      </c>
      <c r="O35" s="27">
        <v>-19</v>
      </c>
      <c r="P35" s="27">
        <f>785-Q35-R35-S35</f>
        <v>265.5</v>
      </c>
      <c r="Q35" s="27">
        <f>519.5-R35-S35</f>
        <v>288.5</v>
      </c>
      <c r="R35" s="27">
        <f>231-S35</f>
        <v>216</v>
      </c>
      <c r="S35" s="27">
        <v>15</v>
      </c>
      <c r="T35" s="27">
        <f>625.4-W35-V35-U35</f>
        <v>220.79999999999995</v>
      </c>
      <c r="U35" s="27">
        <f>404.6-W35-V35</f>
        <v>137</v>
      </c>
      <c r="V35" s="27">
        <f>267.6-W35</f>
        <v>260.70000000000005</v>
      </c>
      <c r="W35" s="27">
        <v>6.9</v>
      </c>
      <c r="X35" s="27">
        <f>90.8-39.4</f>
        <v>51.4</v>
      </c>
      <c r="Y35" s="27">
        <f>39.4+23.2</f>
        <v>62.599999999999994</v>
      </c>
    </row>
    <row r="36" spans="1:28" s="33" customFormat="1">
      <c r="A36" s="20" t="s">
        <v>68</v>
      </c>
      <c r="B36" s="29">
        <f>-250-C36</f>
        <v>-110</v>
      </c>
      <c r="C36" s="29">
        <v>-140</v>
      </c>
      <c r="D36" s="29">
        <f>-526-E36-F36-G36</f>
        <v>-149</v>
      </c>
      <c r="E36" s="29">
        <f>-377-F36-G36</f>
        <v>-122</v>
      </c>
      <c r="F36" s="29">
        <f>-255-G36</f>
        <v>-116</v>
      </c>
      <c r="G36" s="29">
        <v>-139</v>
      </c>
      <c r="H36" s="29">
        <f>-601-I36-J36-K36</f>
        <v>-188</v>
      </c>
      <c r="I36" s="29">
        <f>-413-J36-K36</f>
        <v>-177</v>
      </c>
      <c r="J36" s="29">
        <f>-236-K36</f>
        <v>-118</v>
      </c>
      <c r="K36" s="29">
        <v>-118</v>
      </c>
      <c r="L36" s="29">
        <f>-551-M36-N36-O36</f>
        <v>-137.89999999999998</v>
      </c>
      <c r="M36" s="29">
        <f>-413.1-N36-O36</f>
        <v>-145.40000000000003</v>
      </c>
      <c r="N36" s="29">
        <f>-267.7-O36</f>
        <v>-125.69999999999999</v>
      </c>
      <c r="O36" s="29">
        <v>-142</v>
      </c>
      <c r="P36" s="29">
        <f>-503.8-S36-R36-Q36</f>
        <v>-113.89999999999998</v>
      </c>
      <c r="Q36" s="29">
        <f>-389.9-S36-R36</f>
        <v>-127.9</v>
      </c>
      <c r="R36" s="29">
        <f>-262-S36</f>
        <v>-139.6</v>
      </c>
      <c r="S36" s="29">
        <v>-122.4</v>
      </c>
      <c r="T36" s="29">
        <f>-483.4-W36-V36-U36</f>
        <v>-164.89999999999998</v>
      </c>
      <c r="U36" s="29">
        <f>-318.5-W36-V36</f>
        <v>-94.500000000000014</v>
      </c>
      <c r="V36" s="29">
        <f>-224-W36</f>
        <v>-109.3</v>
      </c>
      <c r="W36" s="29">
        <v>-114.7</v>
      </c>
      <c r="X36" s="29">
        <f>-249+114.4</f>
        <v>-134.6</v>
      </c>
      <c r="Y36" s="29">
        <f>-114.4+41.9</f>
        <v>-72.5</v>
      </c>
    </row>
    <row r="37" spans="1:28" s="27" customFormat="1">
      <c r="A37" s="27" t="s">
        <v>69</v>
      </c>
      <c r="B37" s="27">
        <f t="shared" ref="B37:Y37" si="20">+B35+B36</f>
        <v>256</v>
      </c>
      <c r="C37" s="27">
        <f t="shared" si="20"/>
        <v>33</v>
      </c>
      <c r="D37" s="27">
        <f t="shared" si="20"/>
        <v>44</v>
      </c>
      <c r="E37" s="27">
        <f t="shared" si="20"/>
        <v>176</v>
      </c>
      <c r="F37" s="27">
        <f t="shared" si="20"/>
        <v>98</v>
      </c>
      <c r="G37" s="27">
        <f t="shared" si="20"/>
        <v>41</v>
      </c>
      <c r="H37" s="27">
        <f t="shared" si="20"/>
        <v>161</v>
      </c>
      <c r="I37" s="27">
        <f t="shared" si="20"/>
        <v>101</v>
      </c>
      <c r="J37" s="27">
        <f t="shared" si="20"/>
        <v>142</v>
      </c>
      <c r="K37" s="27">
        <f t="shared" si="20"/>
        <v>-214</v>
      </c>
      <c r="L37" s="27">
        <f t="shared" si="20"/>
        <v>427.9</v>
      </c>
      <c r="M37" s="27">
        <f t="shared" si="20"/>
        <v>142.80000000000001</v>
      </c>
      <c r="N37" s="27">
        <f t="shared" si="20"/>
        <v>141.30000000000001</v>
      </c>
      <c r="O37" s="27">
        <f t="shared" si="20"/>
        <v>-161</v>
      </c>
      <c r="P37" s="27">
        <f t="shared" si="20"/>
        <v>151.60000000000002</v>
      </c>
      <c r="Q37" s="27">
        <f t="shared" si="20"/>
        <v>160.6</v>
      </c>
      <c r="R37" s="27">
        <f t="shared" si="20"/>
        <v>76.400000000000006</v>
      </c>
      <c r="S37" s="27">
        <f t="shared" si="20"/>
        <v>-107.4</v>
      </c>
      <c r="T37" s="27">
        <f t="shared" si="20"/>
        <v>55.899999999999977</v>
      </c>
      <c r="U37" s="27">
        <f t="shared" si="20"/>
        <v>42.499999999999986</v>
      </c>
      <c r="V37" s="27">
        <f t="shared" si="20"/>
        <v>151.40000000000003</v>
      </c>
      <c r="W37" s="27">
        <f t="shared" si="20"/>
        <v>-107.8</v>
      </c>
      <c r="X37" s="27">
        <f t="shared" si="20"/>
        <v>-83.199999999999989</v>
      </c>
      <c r="Y37" s="27">
        <f t="shared" si="20"/>
        <v>-9.9000000000000057</v>
      </c>
      <c r="AB37" s="33"/>
    </row>
    <row r="38" spans="1:28">
      <c r="B38" s="33"/>
      <c r="C38" s="33"/>
      <c r="D38" s="33"/>
      <c r="E38" s="33"/>
      <c r="F38" s="33"/>
      <c r="G38" s="33"/>
      <c r="H38" s="33"/>
    </row>
    <row r="39" spans="1:28" s="35" customFormat="1">
      <c r="A39" s="34" t="s">
        <v>70</v>
      </c>
      <c r="B39" s="20">
        <v>0</v>
      </c>
      <c r="C39" s="20">
        <v>0</v>
      </c>
      <c r="D39" s="20">
        <v>200</v>
      </c>
      <c r="E39" s="20">
        <v>200</v>
      </c>
      <c r="F39" s="20">
        <v>600</v>
      </c>
      <c r="G39" s="20">
        <f>H39+620-20</f>
        <v>600</v>
      </c>
      <c r="H39" s="20">
        <v>0</v>
      </c>
      <c r="I39" s="20">
        <v>0</v>
      </c>
      <c r="J39" s="20">
        <v>0</v>
      </c>
      <c r="K39" s="20">
        <v>0</v>
      </c>
      <c r="L39" s="20">
        <v>0</v>
      </c>
      <c r="M39" s="20">
        <v>0</v>
      </c>
      <c r="N39" s="20">
        <v>0</v>
      </c>
      <c r="O39" s="20">
        <v>160</v>
      </c>
      <c r="P39" s="20">
        <v>100</v>
      </c>
      <c r="Q39" s="20">
        <v>0</v>
      </c>
      <c r="R39" s="20">
        <v>0</v>
      </c>
      <c r="S39" s="20">
        <v>100</v>
      </c>
      <c r="T39" s="20">
        <v>30</v>
      </c>
      <c r="U39" s="20">
        <v>0</v>
      </c>
      <c r="V39" s="20">
        <v>0</v>
      </c>
      <c r="W39" s="20"/>
      <c r="X39" s="20"/>
      <c r="Y39" s="20"/>
      <c r="Z39" s="33"/>
      <c r="AA39" s="33"/>
    </row>
    <row r="40" spans="1:28" s="35" customFormat="1">
      <c r="A40" s="34" t="s">
        <v>71</v>
      </c>
      <c r="B40" s="20">
        <f>2003+426</f>
        <v>2429</v>
      </c>
      <c r="C40" s="20">
        <f>2003+407</f>
        <v>2410</v>
      </c>
      <c r="D40" s="20">
        <f>2003+420+50</f>
        <v>2473</v>
      </c>
      <c r="E40" s="20">
        <f>2003+390+50</f>
        <v>2443</v>
      </c>
      <c r="F40" s="20">
        <f>2003+397+110</f>
        <v>2510</v>
      </c>
      <c r="G40" s="20">
        <f>H40-25</f>
        <v>2358</v>
      </c>
      <c r="H40" s="20">
        <f>2003+380</f>
        <v>2383</v>
      </c>
      <c r="I40" s="20">
        <f>2003+271</f>
        <v>2274</v>
      </c>
      <c r="J40" s="20">
        <f>2003+287</f>
        <v>2290</v>
      </c>
      <c r="K40" s="20">
        <f>2003+284</f>
        <v>2287</v>
      </c>
      <c r="L40" s="20">
        <f>1503+289</f>
        <v>1792</v>
      </c>
      <c r="M40" s="20">
        <f>1503+266.8</f>
        <v>1769.8</v>
      </c>
      <c r="N40" s="20">
        <f>1503+273.7</f>
        <v>1776.7</v>
      </c>
      <c r="O40" s="20">
        <f>1503+280.2</f>
        <v>1783.2</v>
      </c>
      <c r="P40" s="20">
        <f>1494+247.9</f>
        <v>1741.9</v>
      </c>
      <c r="Q40" s="20">
        <f>1494+165.4</f>
        <v>1659.4</v>
      </c>
      <c r="R40" s="20">
        <f>1494+120.5</f>
        <v>1614.5</v>
      </c>
      <c r="S40" s="20">
        <f>1494+107</f>
        <v>1601</v>
      </c>
      <c r="T40" s="20">
        <f>1481.9+97.4</f>
        <v>1579.3000000000002</v>
      </c>
      <c r="U40" s="20">
        <f>2016.5+63.3</f>
        <v>2079.8000000000002</v>
      </c>
      <c r="V40" s="20">
        <v>1535.7</v>
      </c>
      <c r="W40" s="20"/>
      <c r="X40" s="20"/>
      <c r="Y40" s="20"/>
      <c r="Z40" s="33"/>
      <c r="AA40" s="33"/>
      <c r="AB40" s="33"/>
    </row>
    <row r="41" spans="1:28" s="35" customFormat="1">
      <c r="A41" s="34" t="s">
        <v>72</v>
      </c>
      <c r="B41" s="20">
        <f>+B39+B40+535+1000+1150+300</f>
        <v>5414</v>
      </c>
      <c r="C41" s="20">
        <f>+C39+C40+535+1000+1150+300</f>
        <v>5395</v>
      </c>
      <c r="D41" s="20">
        <f>D39+D40+1200+535+1000+1150+300-1200</f>
        <v>5658</v>
      </c>
      <c r="E41" s="20">
        <f>E39+E40+1200+535+1000+1150+300</f>
        <v>6828</v>
      </c>
      <c r="F41" s="20">
        <f>F39+F40+1200+535+1000+1150+300</f>
        <v>7295</v>
      </c>
      <c r="G41" s="20">
        <f>G39+G40+535+1200+300+1000</f>
        <v>5993</v>
      </c>
      <c r="H41" s="20">
        <f>H39+H40+535+1200+300+1000</f>
        <v>5418</v>
      </c>
      <c r="I41" s="20">
        <f>I39+I40+535+1200+300+1000+31</f>
        <v>5340</v>
      </c>
      <c r="J41" s="20">
        <f>J39+J40+535+1200+300+1000+261+48</f>
        <v>5634</v>
      </c>
      <c r="K41" s="20">
        <f>K39+K40+535+1200+300+1000+272+46</f>
        <v>5640</v>
      </c>
      <c r="L41" s="20">
        <f>L39+L40+535+1200+300+283+250+55</f>
        <v>4415</v>
      </c>
      <c r="M41" s="20">
        <f>M39+M40+535+1200+300+13.9+364.5+51.5</f>
        <v>4234.7000000000007</v>
      </c>
      <c r="N41" s="20">
        <f>N39+N40+535+1600+300+14+364+53.3</f>
        <v>4643</v>
      </c>
      <c r="O41" s="20">
        <v>4857.2</v>
      </c>
      <c r="P41" s="20">
        <v>4683.8999999999996</v>
      </c>
      <c r="Q41" s="20">
        <v>4799.3999999999996</v>
      </c>
      <c r="R41" s="20">
        <v>5043.5</v>
      </c>
      <c r="S41" s="20">
        <v>5122.6000000000004</v>
      </c>
      <c r="T41" s="20">
        <v>5044.2</v>
      </c>
      <c r="U41" s="20">
        <v>5494.5</v>
      </c>
      <c r="V41" s="20">
        <f>1578.4+547.8+900.3+267.7+1535.7+199.9+45.7+14.6</f>
        <v>5090.0999999999995</v>
      </c>
      <c r="W41" s="20"/>
      <c r="X41" s="20"/>
      <c r="Y41" s="20"/>
      <c r="Z41" s="33"/>
      <c r="AA41" s="33"/>
      <c r="AB41" s="33"/>
    </row>
    <row r="42" spans="1:28" s="35" customFormat="1">
      <c r="A42" s="34" t="s">
        <v>73</v>
      </c>
      <c r="B42" s="36">
        <f>114.62625*82.05</f>
        <v>9405.0838124999991</v>
      </c>
      <c r="C42" s="36">
        <f>111710560/1000000*144.5</f>
        <v>16142.17592</v>
      </c>
      <c r="D42" s="36">
        <f>102203908/1000000*117.94</f>
        <v>12053.92890952</v>
      </c>
      <c r="E42" s="36">
        <f>91.415716*90.43</f>
        <v>8266.723197880001</v>
      </c>
      <c r="F42" s="36">
        <f>91.325643*77.72</f>
        <v>7097.8289739599995</v>
      </c>
      <c r="G42" s="36">
        <v>5810</v>
      </c>
      <c r="H42" s="36">
        <f>92357540/1000000*92.28</f>
        <v>8522.7537912000007</v>
      </c>
      <c r="I42" s="36">
        <f>92300242/1000000*81.37</f>
        <v>7510.4706915400002</v>
      </c>
      <c r="J42" s="36">
        <f>92181297/1000000*67.3</f>
        <v>6203.8012880999995</v>
      </c>
      <c r="K42" s="36">
        <f>91954738/1000000*67.13</f>
        <v>6172.9215619400002</v>
      </c>
      <c r="L42" s="36">
        <f>(109194970/1000000)*57.55</f>
        <v>6284.1705234999999</v>
      </c>
      <c r="M42" s="36">
        <f>(126946929/1000000)*86.67</f>
        <v>11002.490336430001</v>
      </c>
      <c r="N42" s="36">
        <f>126850767/1000000*113.51</f>
        <v>14398.830562170002</v>
      </c>
      <c r="O42" s="36">
        <f>120645107/1000000*105.46</f>
        <v>12723.23298422</v>
      </c>
      <c r="P42" s="36">
        <f>119933200/1000000*91.59</f>
        <v>10984.681788</v>
      </c>
      <c r="Q42" s="36">
        <f>119870899/1000000*92.61</f>
        <v>11101.243956389999</v>
      </c>
      <c r="R42" s="36">
        <f>117828171/1000000*64.63</f>
        <v>7615.2346917299992</v>
      </c>
      <c r="S42" s="36">
        <f>111705199/1000000*47.89</f>
        <v>5349.5619801100001</v>
      </c>
      <c r="T42" s="36">
        <f>111456669/1000000*43.16</f>
        <v>4810.46983404</v>
      </c>
      <c r="U42" s="36">
        <f>110769845/1000000*36.67</f>
        <v>4061.9302161500004</v>
      </c>
      <c r="V42" s="36">
        <f>110150495/1000000*26.26</f>
        <v>2892.5519987000002</v>
      </c>
      <c r="W42" s="36"/>
      <c r="X42" s="36"/>
      <c r="Y42" s="36"/>
      <c r="AB42" s="33"/>
    </row>
    <row r="43" spans="1:28">
      <c r="B43" s="35"/>
      <c r="C43" s="35"/>
      <c r="D43" s="35"/>
      <c r="E43" s="35"/>
      <c r="F43" s="35"/>
      <c r="G43" s="35"/>
      <c r="H43" s="35"/>
      <c r="I43" s="35"/>
      <c r="J43" s="35"/>
      <c r="K43" s="35"/>
      <c r="L43" s="35"/>
      <c r="M43" s="35"/>
      <c r="N43" s="35"/>
      <c r="O43" s="35"/>
      <c r="P43" s="35"/>
      <c r="Q43" s="35"/>
      <c r="R43" s="35"/>
      <c r="S43" s="35"/>
      <c r="T43" s="35"/>
      <c r="AB43" s="33"/>
    </row>
    <row r="44" spans="1:28">
      <c r="A44" s="19" t="s">
        <v>74</v>
      </c>
      <c r="B44" s="28">
        <v>801</v>
      </c>
      <c r="C44" s="28">
        <v>629</v>
      </c>
      <c r="D44" s="28">
        <f>2054-1200</f>
        <v>854</v>
      </c>
      <c r="E44" s="28">
        <v>2025</v>
      </c>
      <c r="F44" s="28">
        <v>2285</v>
      </c>
      <c r="G44" s="28">
        <v>1127</v>
      </c>
      <c r="H44" s="28">
        <v>377</v>
      </c>
      <c r="I44" s="28">
        <v>425</v>
      </c>
      <c r="J44" s="28">
        <v>497</v>
      </c>
      <c r="K44" s="28">
        <v>376</v>
      </c>
      <c r="L44" s="28">
        <v>502</v>
      </c>
      <c r="M44" s="28">
        <v>427.9</v>
      </c>
      <c r="N44" s="28">
        <v>361.4</v>
      </c>
      <c r="O44" s="28">
        <v>380</v>
      </c>
      <c r="P44" s="28">
        <v>396.9</v>
      </c>
      <c r="Q44" s="28">
        <v>473.1</v>
      </c>
      <c r="R44" s="28">
        <v>291.39999999999998</v>
      </c>
      <c r="S44" s="28">
        <v>342</v>
      </c>
      <c r="T44" s="28">
        <v>373.4</v>
      </c>
      <c r="U44" s="28">
        <v>360.3</v>
      </c>
      <c r="V44" s="28">
        <v>377.8</v>
      </c>
      <c r="W44" s="28"/>
      <c r="X44" s="28"/>
      <c r="Y44" s="28"/>
      <c r="AA44" s="35"/>
    </row>
    <row r="46" spans="1:28">
      <c r="A46" s="14" t="s">
        <v>75</v>
      </c>
      <c r="B46" s="33">
        <f t="shared" ref="B46:V46" si="21">SUM(B12:E12)</f>
        <v>18696</v>
      </c>
      <c r="C46" s="33">
        <f t="shared" si="21"/>
        <v>17162</v>
      </c>
      <c r="D46" s="33">
        <f t="shared" si="21"/>
        <v>16252</v>
      </c>
      <c r="E46" s="33">
        <f t="shared" si="21"/>
        <v>15723</v>
      </c>
      <c r="F46" s="33">
        <f t="shared" si="21"/>
        <v>15656</v>
      </c>
      <c r="G46" s="33">
        <f t="shared" si="21"/>
        <v>16392</v>
      </c>
      <c r="H46" s="33">
        <f t="shared" si="21"/>
        <v>16648</v>
      </c>
      <c r="I46" s="33">
        <f t="shared" si="21"/>
        <v>16900.400000000001</v>
      </c>
      <c r="J46" s="33">
        <f t="shared" si="21"/>
        <v>17081.5</v>
      </c>
      <c r="K46" s="33">
        <f t="shared" si="21"/>
        <v>17207</v>
      </c>
      <c r="L46" s="33">
        <f t="shared" si="21"/>
        <v>17279</v>
      </c>
      <c r="M46" s="33">
        <f t="shared" si="21"/>
        <v>17084.5</v>
      </c>
      <c r="N46" s="33">
        <f t="shared" si="21"/>
        <v>16636.5</v>
      </c>
      <c r="O46" s="33">
        <f t="shared" si="21"/>
        <v>16033.3</v>
      </c>
      <c r="P46" s="33">
        <f t="shared" si="21"/>
        <v>15380.8</v>
      </c>
      <c r="Q46" s="33">
        <f t="shared" si="21"/>
        <v>14863.5</v>
      </c>
      <c r="R46" s="33">
        <f t="shared" si="21"/>
        <v>14690.2</v>
      </c>
      <c r="S46" s="33">
        <f t="shared" si="21"/>
        <v>14613.2</v>
      </c>
      <c r="T46" s="33">
        <f t="shared" si="21"/>
        <v>14619.400000000001</v>
      </c>
      <c r="U46" s="33">
        <f t="shared" si="21"/>
        <v>14285</v>
      </c>
      <c r="V46" s="33">
        <f t="shared" si="21"/>
        <v>12933.300000000001</v>
      </c>
    </row>
    <row r="47" spans="1:28">
      <c r="A47" s="14" t="s">
        <v>76</v>
      </c>
      <c r="B47" s="33">
        <f t="shared" ref="B47" si="22">+B27</f>
        <v>1838</v>
      </c>
      <c r="C47" s="33">
        <f t="shared" ref="C47:D47" si="23">+C27</f>
        <v>1503</v>
      </c>
      <c r="D47" s="33">
        <f t="shared" si="23"/>
        <v>1393</v>
      </c>
      <c r="E47" s="33">
        <f t="shared" ref="E47:F47" si="24">+E27</f>
        <v>1376</v>
      </c>
      <c r="F47" s="33">
        <f t="shared" si="24"/>
        <v>1375</v>
      </c>
      <c r="G47" s="33">
        <f t="shared" ref="G47:H47" si="25">+G27</f>
        <v>1658</v>
      </c>
      <c r="H47" s="33">
        <f t="shared" si="25"/>
        <v>1668</v>
      </c>
      <c r="I47" s="33">
        <f t="shared" ref="I47:J47" si="26">+I27</f>
        <v>1616</v>
      </c>
      <c r="J47" s="33">
        <f t="shared" si="26"/>
        <v>1593</v>
      </c>
      <c r="K47" s="33">
        <f t="shared" ref="K47:P47" si="27">+K27</f>
        <v>1574.6999999999998</v>
      </c>
      <c r="L47" s="33">
        <f t="shared" si="27"/>
        <v>1561.6999999999998</v>
      </c>
      <c r="M47" s="33">
        <f t="shared" si="27"/>
        <v>1518.6999999999998</v>
      </c>
      <c r="N47" s="33">
        <f t="shared" si="27"/>
        <v>1473.2999999999997</v>
      </c>
      <c r="O47" s="33">
        <f t="shared" si="27"/>
        <v>1407.3999999999999</v>
      </c>
      <c r="P47" s="33">
        <f t="shared" si="27"/>
        <v>1367.3999999999999</v>
      </c>
      <c r="Q47" s="33">
        <f t="shared" ref="Q47:V47" si="28">+Q27</f>
        <v>1321.4999999999998</v>
      </c>
      <c r="R47" s="33">
        <f t="shared" si="28"/>
        <v>1304.5999999999999</v>
      </c>
      <c r="S47" s="33">
        <f t="shared" si="28"/>
        <v>1288.6999999999998</v>
      </c>
      <c r="T47" s="33">
        <f t="shared" si="28"/>
        <v>1248</v>
      </c>
      <c r="U47" s="33">
        <f t="shared" si="28"/>
        <v>1174.4999999999998</v>
      </c>
      <c r="V47" s="33">
        <f t="shared" si="28"/>
        <v>987.9</v>
      </c>
    </row>
    <row r="48" spans="1:28">
      <c r="A48" s="14" t="s">
        <v>77</v>
      </c>
      <c r="B48" s="33">
        <f t="shared" ref="B48:V48" si="29">+SUM(B37:E37)</f>
        <v>509</v>
      </c>
      <c r="C48" s="33">
        <f t="shared" si="29"/>
        <v>351</v>
      </c>
      <c r="D48" s="33">
        <f t="shared" si="29"/>
        <v>359</v>
      </c>
      <c r="E48" s="33">
        <f t="shared" si="29"/>
        <v>476</v>
      </c>
      <c r="F48" s="33">
        <f t="shared" si="29"/>
        <v>401</v>
      </c>
      <c r="G48" s="33">
        <f t="shared" si="29"/>
        <v>445</v>
      </c>
      <c r="H48" s="33">
        <f t="shared" si="29"/>
        <v>190</v>
      </c>
      <c r="I48" s="33">
        <f t="shared" si="29"/>
        <v>456.9</v>
      </c>
      <c r="J48" s="33">
        <f t="shared" si="29"/>
        <v>498.7</v>
      </c>
      <c r="K48" s="33">
        <f t="shared" si="29"/>
        <v>498</v>
      </c>
      <c r="L48" s="33">
        <f t="shared" si="29"/>
        <v>551</v>
      </c>
      <c r="M48" s="33">
        <f t="shared" si="29"/>
        <v>274.70000000000005</v>
      </c>
      <c r="N48" s="33">
        <f t="shared" si="29"/>
        <v>292.5</v>
      </c>
      <c r="O48" s="33">
        <f t="shared" si="29"/>
        <v>227.60000000000002</v>
      </c>
      <c r="P48" s="33">
        <f t="shared" si="29"/>
        <v>281.20000000000005</v>
      </c>
      <c r="Q48" s="33">
        <f t="shared" si="29"/>
        <v>185.49999999999997</v>
      </c>
      <c r="R48" s="33">
        <f t="shared" si="29"/>
        <v>67.399999999999963</v>
      </c>
      <c r="S48" s="33">
        <f t="shared" si="29"/>
        <v>142.39999999999998</v>
      </c>
      <c r="T48" s="33">
        <f t="shared" si="29"/>
        <v>142</v>
      </c>
      <c r="U48" s="33">
        <f t="shared" si="29"/>
        <v>2.9000000000000483</v>
      </c>
      <c r="V48" s="33">
        <f t="shared" si="29"/>
        <v>-49.499999999999957</v>
      </c>
    </row>
    <row r="50" spans="1:25" s="37" customFormat="1">
      <c r="A50" s="37" t="s">
        <v>78</v>
      </c>
      <c r="B50" s="37">
        <f t="shared" ref="B50" si="30">+SUM(B39:B40)/B47</f>
        <v>1.3215451577801958</v>
      </c>
      <c r="C50" s="37">
        <f t="shared" ref="C50:D50" si="31">+SUM(C39:C40)/C47</f>
        <v>1.603459747172322</v>
      </c>
      <c r="D50" s="37">
        <f t="shared" si="31"/>
        <v>1.9188801148600143</v>
      </c>
      <c r="E50" s="37">
        <f t="shared" ref="E50:F50" si="32">+SUM(E39:E40)/E47</f>
        <v>1.9207848837209303</v>
      </c>
      <c r="F50" s="37">
        <f t="shared" si="32"/>
        <v>2.2618181818181817</v>
      </c>
      <c r="G50" s="37">
        <f t="shared" ref="G50:H50" si="33">+SUM(G39:G40)/G47</f>
        <v>1.7840772014475272</v>
      </c>
      <c r="H50" s="37">
        <f t="shared" si="33"/>
        <v>1.4286570743405276</v>
      </c>
      <c r="I50" s="37">
        <f t="shared" ref="I50:J50" si="34">+SUM(I39:I40)/I47</f>
        <v>1.4071782178217822</v>
      </c>
      <c r="J50" s="37">
        <f t="shared" si="34"/>
        <v>1.4375392341494035</v>
      </c>
      <c r="K50" s="37">
        <f t="shared" ref="K50:L50" si="35">+SUM(K39:K40)/K47</f>
        <v>1.4523401282784023</v>
      </c>
      <c r="L50" s="37">
        <f t="shared" si="35"/>
        <v>1.1474675033617214</v>
      </c>
      <c r="M50" s="37">
        <f t="shared" ref="M50:N50" si="36">+SUM(M39:M40)/M47</f>
        <v>1.1653387765852374</v>
      </c>
      <c r="N50" s="37">
        <f t="shared" si="36"/>
        <v>1.2059322609108807</v>
      </c>
      <c r="O50" s="37">
        <f t="shared" ref="O50:V50" si="37">+SUM(O39:O40)/O47</f>
        <v>1.3807020036947564</v>
      </c>
      <c r="P50" s="37">
        <f t="shared" si="37"/>
        <v>1.3470089220418313</v>
      </c>
      <c r="Q50" s="37">
        <f t="shared" si="37"/>
        <v>1.2556942867953087</v>
      </c>
      <c r="R50" s="37">
        <f t="shared" si="37"/>
        <v>1.2375440748122031</v>
      </c>
      <c r="S50" s="37">
        <f t="shared" si="37"/>
        <v>1.3199348180336776</v>
      </c>
      <c r="T50" s="37">
        <f t="shared" si="37"/>
        <v>1.2895032051282054</v>
      </c>
      <c r="U50" s="37">
        <f t="shared" si="37"/>
        <v>1.770796083439762</v>
      </c>
      <c r="V50" s="37">
        <f t="shared" si="37"/>
        <v>1.5545095657455208</v>
      </c>
    </row>
    <row r="51" spans="1:25" s="37" customFormat="1">
      <c r="A51" s="37" t="s">
        <v>79</v>
      </c>
      <c r="B51" s="37">
        <f t="shared" ref="B51" si="38">+B41/B47</f>
        <v>2.9455930359085962</v>
      </c>
      <c r="C51" s="37">
        <f t="shared" ref="C51:D51" si="39">+C41/C47</f>
        <v>3.5894876912840985</v>
      </c>
      <c r="D51" s="37">
        <f t="shared" si="39"/>
        <v>4.0617372577171569</v>
      </c>
      <c r="E51" s="37">
        <f t="shared" ref="E51:F51" si="40">+E41/E47</f>
        <v>4.9622093023255811</v>
      </c>
      <c r="F51" s="37">
        <f t="shared" si="40"/>
        <v>5.3054545454545456</v>
      </c>
      <c r="G51" s="37">
        <f t="shared" ref="G51:H51" si="41">+G41/G47</f>
        <v>3.6145958986730999</v>
      </c>
      <c r="H51" s="37">
        <f t="shared" si="41"/>
        <v>3.2482014388489207</v>
      </c>
      <c r="I51" s="37">
        <f t="shared" ref="I51:J51" si="42">+I41/I47</f>
        <v>3.3044554455445545</v>
      </c>
      <c r="J51" s="37">
        <f t="shared" si="42"/>
        <v>3.536723163841808</v>
      </c>
      <c r="K51" s="37">
        <f t="shared" ref="K51:L51" si="43">+K41/K47</f>
        <v>3.5816345970661083</v>
      </c>
      <c r="L51" s="37">
        <f t="shared" si="43"/>
        <v>2.8270474482935266</v>
      </c>
      <c r="M51" s="37">
        <f t="shared" ref="M51:V51" si="44">+M41/M47</f>
        <v>2.7883716336340298</v>
      </c>
      <c r="N51" s="37">
        <f t="shared" si="44"/>
        <v>3.151428765356683</v>
      </c>
      <c r="O51" s="37">
        <f t="shared" si="44"/>
        <v>3.4511865851925538</v>
      </c>
      <c r="P51" s="37">
        <f t="shared" si="44"/>
        <v>3.4254058797718296</v>
      </c>
      <c r="Q51" s="37">
        <f t="shared" si="44"/>
        <v>3.6317820658342796</v>
      </c>
      <c r="R51" s="37">
        <f t="shared" si="44"/>
        <v>3.8659359190556497</v>
      </c>
      <c r="S51" s="37">
        <f t="shared" si="44"/>
        <v>3.9750135795763182</v>
      </c>
      <c r="T51" s="37">
        <f t="shared" si="44"/>
        <v>4.0418269230769228</v>
      </c>
      <c r="U51" s="37">
        <f t="shared" si="44"/>
        <v>4.6781609195402307</v>
      </c>
      <c r="V51" s="37">
        <f t="shared" si="44"/>
        <v>5.1524445794108713</v>
      </c>
    </row>
    <row r="52" spans="1:25" s="37" customFormat="1">
      <c r="A52" s="37" t="s">
        <v>80</v>
      </c>
      <c r="B52" s="37">
        <f t="shared" ref="B52" si="45">+(B41-B44)/B47</f>
        <v>2.5097932535364529</v>
      </c>
      <c r="C52" s="37">
        <f t="shared" ref="C52:D52" si="46">+(C41-C44)/C47</f>
        <v>3.1709913506320691</v>
      </c>
      <c r="D52" s="37">
        <f t="shared" si="46"/>
        <v>3.4486719310839913</v>
      </c>
      <c r="E52" s="37">
        <f t="shared" ref="E52:F52" si="47">+(E41-E44)/E47</f>
        <v>3.4905523255813953</v>
      </c>
      <c r="F52" s="37">
        <f t="shared" si="47"/>
        <v>3.6436363636363636</v>
      </c>
      <c r="G52" s="37">
        <f t="shared" ref="G52:H52" si="48">+(G41-G44)/G47</f>
        <v>2.9348612786489747</v>
      </c>
      <c r="H52" s="37">
        <f t="shared" si="48"/>
        <v>3.0221822541966428</v>
      </c>
      <c r="I52" s="37">
        <f t="shared" ref="I52:J52" si="49">+(I41-I44)/I47</f>
        <v>3.0414603960396041</v>
      </c>
      <c r="J52" s="37">
        <f t="shared" si="49"/>
        <v>3.2247332077840554</v>
      </c>
      <c r="K52" s="37">
        <f t="shared" ref="K52:L52" si="50">+(K41-K44)/K47</f>
        <v>3.3428589572617011</v>
      </c>
      <c r="L52" s="37">
        <f t="shared" si="50"/>
        <v>2.5056028686687588</v>
      </c>
      <c r="M52" s="37">
        <f t="shared" ref="M52:V52" si="51">+(M41-M44)/M47</f>
        <v>2.5066175018107599</v>
      </c>
      <c r="N52" s="37">
        <f t="shared" si="51"/>
        <v>2.9061290979433934</v>
      </c>
      <c r="O52" s="37">
        <f t="shared" si="51"/>
        <v>3.1811851641324429</v>
      </c>
      <c r="P52" s="37">
        <f t="shared" si="51"/>
        <v>3.1351469942957442</v>
      </c>
      <c r="Q52" s="37">
        <f t="shared" si="51"/>
        <v>3.2737797956867198</v>
      </c>
      <c r="R52" s="37">
        <f t="shared" si="51"/>
        <v>3.6425724359957079</v>
      </c>
      <c r="S52" s="37">
        <f t="shared" si="51"/>
        <v>3.7096298595483828</v>
      </c>
      <c r="T52" s="37">
        <f t="shared" si="51"/>
        <v>3.7426282051282054</v>
      </c>
      <c r="U52" s="37">
        <f t="shared" si="51"/>
        <v>4.3713920817369099</v>
      </c>
      <c r="V52" s="37">
        <f t="shared" si="51"/>
        <v>4.7700172082194552</v>
      </c>
    </row>
    <row r="53" spans="1:25" s="38" customFormat="1">
      <c r="A53" s="38" t="s">
        <v>81</v>
      </c>
      <c r="B53" s="38">
        <f t="shared" ref="B53" si="52">+B48/B41</f>
        <v>9.4015515330624314E-2</v>
      </c>
      <c r="C53" s="38">
        <f t="shared" ref="C53:D53" si="53">+C48/C41</f>
        <v>6.5060240963855417E-2</v>
      </c>
      <c r="D53" s="38">
        <f t="shared" si="53"/>
        <v>6.3449982325910217E-2</v>
      </c>
      <c r="E53" s="38">
        <f t="shared" ref="E53:F53" si="54">+E48/E41</f>
        <v>6.9712946690099586E-2</v>
      </c>
      <c r="F53" s="38">
        <f t="shared" si="54"/>
        <v>5.496915695681974E-2</v>
      </c>
      <c r="G53" s="38">
        <f t="shared" ref="G53:H53" si="55">+G48/G41</f>
        <v>7.4253295511430006E-2</v>
      </c>
      <c r="H53" s="38">
        <f t="shared" si="55"/>
        <v>3.506829088224437E-2</v>
      </c>
      <c r="I53" s="38">
        <f t="shared" ref="I53:J53" si="56">+I48/I41</f>
        <v>8.5561797752808991E-2</v>
      </c>
      <c r="J53" s="38">
        <f t="shared" si="56"/>
        <v>8.8516151934682277E-2</v>
      </c>
      <c r="K53" s="38">
        <f t="shared" ref="K53:P53" si="57">+K48/K41</f>
        <v>8.8297872340425534E-2</v>
      </c>
      <c r="L53" s="38">
        <f t="shared" si="57"/>
        <v>0.12480181200453001</v>
      </c>
      <c r="M53" s="38">
        <f t="shared" si="57"/>
        <v>6.4868821876402111E-2</v>
      </c>
      <c r="N53" s="38">
        <f t="shared" si="57"/>
        <v>6.2998061598104671E-2</v>
      </c>
      <c r="O53" s="38">
        <f t="shared" si="57"/>
        <v>4.6858272255620531E-2</v>
      </c>
      <c r="P53" s="38">
        <f t="shared" si="57"/>
        <v>6.0035440551677033E-2</v>
      </c>
      <c r="Q53" s="38">
        <f t="shared" ref="Q53:V53" si="58">+Q48/Q41</f>
        <v>3.8650664666416631E-2</v>
      </c>
      <c r="R53" s="38">
        <f t="shared" si="58"/>
        <v>1.3363735501140074E-2</v>
      </c>
      <c r="S53" s="38">
        <f t="shared" si="58"/>
        <v>2.7798383633311202E-2</v>
      </c>
      <c r="T53" s="38">
        <f t="shared" si="58"/>
        <v>2.8151143888029816E-2</v>
      </c>
      <c r="U53" s="38">
        <f t="shared" si="58"/>
        <v>5.278005278005366E-4</v>
      </c>
      <c r="V53" s="38">
        <f t="shared" si="58"/>
        <v>-9.7247598279012124E-3</v>
      </c>
    </row>
    <row r="54" spans="1:25" s="38" customFormat="1">
      <c r="A54" s="39" t="s">
        <v>82</v>
      </c>
      <c r="B54" s="40"/>
      <c r="C54" s="40"/>
      <c r="D54" s="40"/>
      <c r="E54" s="40"/>
      <c r="F54" s="40"/>
      <c r="G54" s="40"/>
      <c r="H54" s="40"/>
      <c r="I54" s="40"/>
      <c r="J54" s="40"/>
      <c r="K54" s="40"/>
      <c r="L54" s="40"/>
      <c r="M54" s="40"/>
      <c r="N54" s="40"/>
      <c r="O54" s="40"/>
      <c r="P54" s="40"/>
      <c r="Q54" s="40"/>
      <c r="R54" s="40"/>
      <c r="S54" s="40"/>
      <c r="T54" s="40"/>
      <c r="U54" s="40"/>
      <c r="V54" s="40"/>
      <c r="W54" s="39"/>
      <c r="X54" s="39"/>
      <c r="Y54" s="39"/>
    </row>
    <row r="55" spans="1:25" s="38" customFormat="1">
      <c r="A55" s="38" t="s">
        <v>83</v>
      </c>
      <c r="B55" s="41">
        <f t="shared" ref="B55" si="59">IF(B42=0,IF(B54="","","*"&amp;TEXT(B54,"0.0x")),(B41+B42-B44)/B47)</f>
        <v>7.6268138261697489</v>
      </c>
      <c r="C55" s="41">
        <f t="shared" ref="C55:D55" si="60">IF(C42=0,IF(C54="","","*"&amp;TEXT(C54,"0.0x")),(C41+C42-C44)/C47)</f>
        <v>13.910962022621424</v>
      </c>
      <c r="D55" s="41">
        <f t="shared" si="60"/>
        <v>12.101887228657574</v>
      </c>
      <c r="E55" s="41">
        <f t="shared" ref="E55:F55" si="61">IF(E42=0,IF(E54="","","*"&amp;TEXT(E54,"0.0x")),(E41+E42-E44)/E47)</f>
        <v>9.498345347296512</v>
      </c>
      <c r="F55" s="41">
        <f t="shared" si="61"/>
        <v>8.8056937992436364</v>
      </c>
      <c r="G55" s="41">
        <f t="shared" ref="G55:H55" si="62">IF(G42=0,IF(G54="","","*"&amp;TEXT(G54,"0.0x")),(G41+G42-G44)/G47)</f>
        <v>6.4390832328106153</v>
      </c>
      <c r="H55" s="41">
        <f t="shared" si="62"/>
        <v>8.1317468772182266</v>
      </c>
      <c r="I55" s="41">
        <f t="shared" ref="I55:J55" si="63">IF(I42=0,IF(I54="","","*"&amp;TEXT(I54,"0.0x")),(I41+I42-I44)/I47)</f>
        <v>7.6890288932797031</v>
      </c>
      <c r="J55" s="41">
        <f t="shared" si="63"/>
        <v>7.1191470735091018</v>
      </c>
      <c r="K55" s="41">
        <f t="shared" ref="K55:P55" si="64">IF(K42=0,IF(K54="","","*"&amp;TEXT(K54,"0.0x")),(K41+K42-K44)/K47)</f>
        <v>7.2629209131517127</v>
      </c>
      <c r="L55" s="41">
        <f t="shared" si="64"/>
        <v>6.5295322555548454</v>
      </c>
      <c r="M55" s="41">
        <f t="shared" si="64"/>
        <v>9.7512940912820198</v>
      </c>
      <c r="N55" s="41">
        <f t="shared" si="64"/>
        <v>12.679312130706579</v>
      </c>
      <c r="O55" s="41">
        <f t="shared" si="64"/>
        <v>12.221424601548955</v>
      </c>
      <c r="P55" s="41">
        <f t="shared" si="64"/>
        <v>11.168408503729706</v>
      </c>
      <c r="Q55" s="41">
        <f t="shared" ref="Q55:V55" si="65">IF(Q42=0,IF(Q54="","","*"&amp;TEXT(Q54,"0.0x")),(Q41+Q42-Q44)/Q47)</f>
        <v>11.674267087695801</v>
      </c>
      <c r="R55" s="41">
        <f t="shared" si="65"/>
        <v>9.4797905041621942</v>
      </c>
      <c r="S55" s="41">
        <f t="shared" si="65"/>
        <v>7.8607604408396075</v>
      </c>
      <c r="T55" s="41">
        <f t="shared" si="65"/>
        <v>7.5971713413782052</v>
      </c>
      <c r="U55" s="41">
        <f t="shared" si="65"/>
        <v>7.8298256416773118</v>
      </c>
      <c r="V55" s="41">
        <f t="shared" si="65"/>
        <v>7.697997771738029</v>
      </c>
      <c r="W55" s="41" t="str">
        <f>IF(W42=0,IF(W54="","",CONCATENATE("* ",W54,"x")),(W41+W42-W44)/W47)</f>
        <v/>
      </c>
      <c r="X55" s="41" t="str">
        <f>IF(X42=0,IF(X54="","",CONCATENATE("* ",X54,"x")),(X41+X42-X44)/X47)</f>
        <v/>
      </c>
      <c r="Y55" s="41" t="str">
        <f>IF(Y42=0,IF(Y54="","",CONCATENATE("* ",Y54,"x")),(Y41+Y42-Y44)/Y47)</f>
        <v/>
      </c>
    </row>
    <row r="56" spans="1:25">
      <c r="V56" s="42"/>
    </row>
    <row r="57" spans="1:25" ht="80.25" customHeight="1">
      <c r="A57" s="43" t="s">
        <v>84</v>
      </c>
      <c r="B57" s="44" t="s">
        <v>290</v>
      </c>
      <c r="C57" s="44" t="s">
        <v>290</v>
      </c>
      <c r="D57" s="44" t="s">
        <v>301</v>
      </c>
      <c r="E57" s="44" t="s">
        <v>290</v>
      </c>
      <c r="F57" s="44" t="s">
        <v>290</v>
      </c>
      <c r="G57" s="44" t="s">
        <v>290</v>
      </c>
      <c r="H57" s="44" t="s">
        <v>301</v>
      </c>
      <c r="I57" s="44" t="s">
        <v>290</v>
      </c>
      <c r="J57" s="44" t="s">
        <v>290</v>
      </c>
      <c r="K57" s="44" t="s">
        <v>290</v>
      </c>
      <c r="L57" s="44" t="s">
        <v>301</v>
      </c>
      <c r="M57" s="44"/>
      <c r="N57" s="44"/>
      <c r="O57" s="44"/>
      <c r="P57" s="44"/>
      <c r="Q57" s="44"/>
      <c r="R57" s="44"/>
      <c r="S57" s="44"/>
      <c r="T57" s="44"/>
      <c r="U57" s="44"/>
      <c r="V57" s="44"/>
      <c r="W57" s="44"/>
      <c r="X57" s="44"/>
      <c r="Y57" s="44"/>
    </row>
    <row r="58" spans="1:25">
      <c r="A58" s="45"/>
      <c r="B58" s="42"/>
      <c r="C58" s="42"/>
      <c r="D58" s="42"/>
      <c r="E58" s="42"/>
      <c r="F58" s="42"/>
      <c r="G58" s="42"/>
      <c r="H58" s="42"/>
      <c r="I58" s="42"/>
      <c r="J58" s="42"/>
      <c r="K58" s="42"/>
      <c r="L58" s="42"/>
      <c r="M58" s="42"/>
      <c r="N58" s="42"/>
      <c r="O58" s="42"/>
      <c r="P58" s="42"/>
      <c r="Q58" s="42"/>
      <c r="R58" s="42"/>
    </row>
    <row r="59" spans="1:25">
      <c r="A59" s="45"/>
    </row>
  </sheetData>
  <pageMargins left="0.7" right="0.7" top="0.75" bottom="0.75" header="0.3" footer="0.3"/>
  <pageSetup orientation="portrait" r:id="rId1"/>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2:M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ColWidth="9.109375" defaultRowHeight="13.8"/>
  <cols>
    <col min="1" max="1" width="22.6640625" style="14" customWidth="1"/>
    <col min="2" max="13" width="10.6640625" style="14" customWidth="1"/>
    <col min="14" max="16384" width="9.109375" style="14"/>
  </cols>
  <sheetData>
    <row r="2" spans="1:13">
      <c r="A2" s="13" t="s">
        <v>44</v>
      </c>
      <c r="B2" s="14" t="s">
        <v>156</v>
      </c>
    </row>
    <row r="3" spans="1:13" s="16" customFormat="1">
      <c r="A3" s="15" t="s">
        <v>45</v>
      </c>
      <c r="B3" s="16" t="s">
        <v>157</v>
      </c>
    </row>
    <row r="4" spans="1:13">
      <c r="A4" s="13" t="s">
        <v>2</v>
      </c>
      <c r="B4" s="14" t="s">
        <v>4</v>
      </c>
    </row>
    <row r="5" spans="1:13">
      <c r="A5" s="13" t="s">
        <v>46</v>
      </c>
    </row>
    <row r="6" spans="1:13">
      <c r="A6" s="13" t="s">
        <v>47</v>
      </c>
      <c r="B6" s="14">
        <v>3</v>
      </c>
    </row>
    <row r="7" spans="1:13">
      <c r="A7" s="13" t="s">
        <v>48</v>
      </c>
      <c r="B7" s="14" t="e">
        <v>#N/A</v>
      </c>
    </row>
    <row r="8" spans="1:13">
      <c r="A8" s="13" t="s">
        <v>347</v>
      </c>
      <c r="B8" s="14" t="e">
        <v>#N/A</v>
      </c>
    </row>
    <row r="9" spans="1:13">
      <c r="A9" s="17"/>
    </row>
    <row r="10" spans="1:13">
      <c r="A10" s="17" t="s">
        <v>49</v>
      </c>
      <c r="B10" s="18">
        <v>43281</v>
      </c>
      <c r="C10" s="18">
        <v>43190</v>
      </c>
      <c r="D10" s="18">
        <v>43100</v>
      </c>
      <c r="E10" s="18">
        <v>43008</v>
      </c>
      <c r="F10" s="18">
        <v>42916</v>
      </c>
      <c r="G10" s="18">
        <v>42825</v>
      </c>
      <c r="H10" s="18">
        <v>42735</v>
      </c>
      <c r="I10" s="18">
        <v>42643</v>
      </c>
      <c r="J10" s="18">
        <v>42551</v>
      </c>
      <c r="K10" s="18">
        <v>42460</v>
      </c>
      <c r="L10" s="18">
        <v>42369</v>
      </c>
      <c r="M10" s="18">
        <v>42277</v>
      </c>
    </row>
    <row r="12" spans="1:13">
      <c r="A12" s="19" t="s">
        <v>50</v>
      </c>
      <c r="B12" s="20">
        <v>185.81299999999999</v>
      </c>
      <c r="C12" s="20">
        <v>170.02799999999999</v>
      </c>
      <c r="D12" s="20">
        <f>490.051+173.755-G12-F12-E12</f>
        <v>168.38600000000002</v>
      </c>
      <c r="E12" s="20">
        <v>170.64699999999999</v>
      </c>
      <c r="F12" s="20">
        <v>166.04900000000001</v>
      </c>
      <c r="G12" s="20">
        <v>158.72399999999999</v>
      </c>
      <c r="H12" s="20">
        <f>615.274-K12-J12-I12</f>
        <v>155.36099999999999</v>
      </c>
      <c r="I12" s="20">
        <v>157.15100000000001</v>
      </c>
      <c r="J12" s="20">
        <v>154.10300000000001</v>
      </c>
      <c r="K12" s="20">
        <v>148.65899999999999</v>
      </c>
      <c r="L12" s="20">
        <f>576.041-429.968</f>
        <v>146.07300000000004</v>
      </c>
      <c r="M12" s="20">
        <v>148.327</v>
      </c>
    </row>
    <row r="13" spans="1:13" s="21" customFormat="1">
      <c r="A13" s="21" t="s">
        <v>51</v>
      </c>
      <c r="B13" s="21">
        <f t="shared" ref="B13:I13" si="0">+B12/F12-1</f>
        <v>0.11902510704671498</v>
      </c>
      <c r="C13" s="21">
        <f t="shared" si="0"/>
        <v>7.1217963256974492E-2</v>
      </c>
      <c r="D13" s="21">
        <f t="shared" si="0"/>
        <v>8.3836998989450517E-2</v>
      </c>
      <c r="E13" s="21">
        <f t="shared" si="0"/>
        <v>8.5879186260348295E-2</v>
      </c>
      <c r="F13" s="21">
        <f t="shared" si="0"/>
        <v>7.7519581059421361E-2</v>
      </c>
      <c r="G13" s="21">
        <f t="shared" si="0"/>
        <v>6.7705285250136304E-2</v>
      </c>
      <c r="H13" s="21">
        <f t="shared" si="0"/>
        <v>6.3584646033147507E-2</v>
      </c>
      <c r="I13" s="21">
        <f t="shared" si="0"/>
        <v>5.9490180479615962E-2</v>
      </c>
    </row>
    <row r="14" spans="1:13" s="24" customFormat="1">
      <c r="A14" s="22" t="s">
        <v>52</v>
      </c>
      <c r="B14" s="23" t="s">
        <v>3</v>
      </c>
      <c r="C14" s="23" t="s">
        <v>3</v>
      </c>
      <c r="D14" s="23" t="s">
        <v>3</v>
      </c>
      <c r="E14" s="23" t="s">
        <v>3</v>
      </c>
      <c r="F14" s="23" t="s">
        <v>3</v>
      </c>
      <c r="G14" s="23" t="s">
        <v>3</v>
      </c>
      <c r="H14" s="23" t="s">
        <v>3</v>
      </c>
      <c r="I14" s="23" t="s">
        <v>3</v>
      </c>
      <c r="J14" s="22"/>
      <c r="K14" s="22"/>
      <c r="L14" s="22"/>
      <c r="M14" s="22"/>
    </row>
    <row r="16" spans="1:13" s="17" customFormat="1">
      <c r="A16" s="25" t="s">
        <v>53</v>
      </c>
      <c r="B16" s="26">
        <f>B22-B21-B20-B19</f>
        <v>51.528999999999996</v>
      </c>
      <c r="C16" s="26">
        <f>C22-C21-C20-C19</f>
        <v>51.286999999999999</v>
      </c>
      <c r="D16" s="26">
        <f>D22-D21-D20-D19</f>
        <v>58.861999999999995</v>
      </c>
      <c r="E16" s="26">
        <f>33.476+0.169-0.554</f>
        <v>33.090999999999994</v>
      </c>
      <c r="F16" s="26">
        <f>52.916+38.87-0.658+4.875-G16</f>
        <v>49.759</v>
      </c>
      <c r="G16" s="26">
        <f>27.29+0.282-0.387+19.059</f>
        <v>46.244</v>
      </c>
      <c r="H16" s="26">
        <f>93.544-1.181+14.171+73.389-K16-J16-I16</f>
        <v>44.039999999999978</v>
      </c>
      <c r="I16" s="26">
        <f>I22-I21-I20-I19</f>
        <v>46.128</v>
      </c>
      <c r="J16" s="26">
        <f>51.338+38.806-0.389-K16</f>
        <v>45.08100000000001</v>
      </c>
      <c r="K16" s="26">
        <f>25.805-0.238+19.107</f>
        <v>44.673999999999999</v>
      </c>
      <c r="L16" s="26">
        <f>158-(66.305-0.523-0.27+54.877)</f>
        <v>37.61099999999999</v>
      </c>
      <c r="M16" s="26">
        <f>66.305-0.523-0.27+54.877-(43.26-0.171-0.271+26.144)</f>
        <v>51.427000000000021</v>
      </c>
    </row>
    <row r="17" spans="1:13" s="21" customFormat="1">
      <c r="A17" s="21" t="s">
        <v>54</v>
      </c>
      <c r="B17" s="21">
        <f>+B16/B12</f>
        <v>0.27731644179901299</v>
      </c>
      <c r="C17" s="21">
        <f>+C16/C12</f>
        <v>0.3016385536499871</v>
      </c>
      <c r="D17" s="21">
        <f>+D16/D12</f>
        <v>0.34956587839844161</v>
      </c>
      <c r="E17" s="21">
        <f>+E16/E12</f>
        <v>0.1939149237900461</v>
      </c>
      <c r="F17" s="21">
        <f>+F16/F12</f>
        <v>0.29966455684767751</v>
      </c>
      <c r="G17" s="21">
        <f t="shared" ref="G17:M17" si="1">+G16/G12</f>
        <v>0.29134850432196768</v>
      </c>
      <c r="H17" s="21">
        <f t="shared" si="1"/>
        <v>0.28346882422229502</v>
      </c>
      <c r="I17" s="21">
        <f t="shared" si="1"/>
        <v>0.2935266081666677</v>
      </c>
      <c r="J17" s="21">
        <f t="shared" si="1"/>
        <v>0.29253810762931293</v>
      </c>
      <c r="K17" s="21">
        <f t="shared" si="1"/>
        <v>0.30051325516786742</v>
      </c>
      <c r="L17" s="21">
        <f t="shared" si="1"/>
        <v>0.25748084861678738</v>
      </c>
      <c r="M17" s="21">
        <f t="shared" si="1"/>
        <v>0.34671367990992891</v>
      </c>
    </row>
    <row r="18" spans="1:13" s="24" customFormat="1"/>
    <row r="19" spans="1:13" s="24" customFormat="1">
      <c r="A19" s="19" t="s">
        <v>55</v>
      </c>
      <c r="B19" s="20">
        <v>0</v>
      </c>
      <c r="C19" s="20">
        <v>0.29299999999999998</v>
      </c>
      <c r="D19" s="20">
        <v>-6.952</v>
      </c>
      <c r="E19" s="20">
        <v>20.407</v>
      </c>
      <c r="F19" s="20">
        <v>0</v>
      </c>
      <c r="G19" s="20">
        <v>0</v>
      </c>
      <c r="H19" s="20">
        <v>0</v>
      </c>
      <c r="I19" s="20">
        <v>0</v>
      </c>
      <c r="J19" s="20">
        <v>0</v>
      </c>
      <c r="K19" s="20">
        <v>0</v>
      </c>
      <c r="L19" s="20">
        <v>0</v>
      </c>
      <c r="M19" s="20">
        <v>0</v>
      </c>
    </row>
    <row r="20" spans="1:13" s="24" customFormat="1">
      <c r="A20" s="19" t="s">
        <v>56</v>
      </c>
      <c r="B20" s="20">
        <v>0</v>
      </c>
      <c r="C20" s="20">
        <v>0</v>
      </c>
      <c r="D20" s="20">
        <v>0</v>
      </c>
      <c r="E20" s="20">
        <v>0</v>
      </c>
      <c r="F20" s="20">
        <v>0</v>
      </c>
      <c r="G20" s="20">
        <v>0</v>
      </c>
      <c r="H20" s="20">
        <v>0</v>
      </c>
      <c r="I20" s="20">
        <v>0</v>
      </c>
      <c r="J20" s="20">
        <v>0</v>
      </c>
      <c r="K20" s="20">
        <v>0</v>
      </c>
      <c r="L20" s="20">
        <v>0</v>
      </c>
      <c r="M20" s="20">
        <v>0</v>
      </c>
    </row>
    <row r="21" spans="1:13" s="24" customFormat="1">
      <c r="A21" s="19" t="s">
        <v>57</v>
      </c>
      <c r="B21" s="20">
        <v>0</v>
      </c>
      <c r="C21" s="20">
        <v>0</v>
      </c>
      <c r="D21" s="20">
        <v>0</v>
      </c>
      <c r="E21" s="20">
        <v>0</v>
      </c>
      <c r="F21" s="20">
        <f>F22-F16</f>
        <v>2.9660000000000011</v>
      </c>
      <c r="G21" s="20">
        <f>0.807+0.169+1.055</f>
        <v>2.0310000000000001</v>
      </c>
      <c r="H21" s="20">
        <f>H22-H16</f>
        <v>3.4750000000000227</v>
      </c>
      <c r="I21" s="20">
        <v>0</v>
      </c>
      <c r="J21" s="20">
        <f>J22-J16</f>
        <v>1.7229999999999919</v>
      </c>
      <c r="K21" s="20">
        <f>0.956+0.186+0.38</f>
        <v>1.5219999999999998</v>
      </c>
      <c r="L21" s="20">
        <f>L22-L16</f>
        <v>3.5919999999999987</v>
      </c>
      <c r="M21" s="20">
        <f>2.384+0.634+1.39-(1.634+0.423-0.008)</f>
        <v>2.3589999999999995</v>
      </c>
    </row>
    <row r="22" spans="1:13" s="17" customFormat="1">
      <c r="A22" s="17" t="s">
        <v>58</v>
      </c>
      <c r="B22" s="46">
        <f>136.552+0.001-33.839+0.395-C22</f>
        <v>51.528999999999996</v>
      </c>
      <c r="C22" s="46">
        <v>51.58</v>
      </c>
      <c r="D22" s="46">
        <v>51.91</v>
      </c>
      <c r="E22" s="27">
        <f>E16+E19+E20+E21</f>
        <v>53.49799999999999</v>
      </c>
      <c r="F22" s="46">
        <f>101-G22</f>
        <v>52.725000000000001</v>
      </c>
      <c r="G22" s="27">
        <f t="shared" ref="G22:M22" si="2">SUM(G16,G19:G21)</f>
        <v>48.274999999999999</v>
      </c>
      <c r="H22" s="27">
        <f>H24-K22-J22-I22</f>
        <v>47.515000000000001</v>
      </c>
      <c r="I22" s="46">
        <v>46.128</v>
      </c>
      <c r="J22" s="46">
        <f>93-K22</f>
        <v>46.804000000000002</v>
      </c>
      <c r="K22" s="27">
        <f t="shared" si="2"/>
        <v>46.195999999999998</v>
      </c>
      <c r="L22" s="27">
        <f>166-((66.305-0.523-0.27+54.877)+(2.384+0.634+1.39))</f>
        <v>41.202999999999989</v>
      </c>
      <c r="M22" s="27">
        <f t="shared" si="2"/>
        <v>53.786000000000023</v>
      </c>
    </row>
    <row r="23" spans="1:13" s="17" customFormat="1">
      <c r="B23" s="27"/>
      <c r="C23" s="27"/>
      <c r="D23" s="27"/>
      <c r="E23" s="27"/>
      <c r="F23" s="27"/>
      <c r="G23" s="27"/>
      <c r="H23" s="27"/>
      <c r="I23" s="27"/>
      <c r="J23" s="27"/>
      <c r="K23" s="27"/>
      <c r="L23" s="27"/>
      <c r="M23" s="27"/>
    </row>
    <row r="24" spans="1:13" s="17" customFormat="1">
      <c r="A24" s="17" t="s">
        <v>59</v>
      </c>
      <c r="B24" s="27">
        <f t="shared" ref="B24:G24" si="3">SUM(B22:E22)</f>
        <v>208.517</v>
      </c>
      <c r="C24" s="27">
        <f t="shared" si="3"/>
        <v>209.71299999999999</v>
      </c>
      <c r="D24" s="27">
        <f t="shared" si="3"/>
        <v>206.40799999999999</v>
      </c>
      <c r="E24" s="27">
        <f t="shared" si="3"/>
        <v>202.01299999999998</v>
      </c>
      <c r="F24" s="27">
        <f t="shared" si="3"/>
        <v>194.64299999999997</v>
      </c>
      <c r="G24" s="27">
        <f t="shared" si="3"/>
        <v>188.72200000000001</v>
      </c>
      <c r="H24" s="46">
        <v>186.643</v>
      </c>
      <c r="I24" s="27">
        <f>SUM(I22:L22)</f>
        <v>180.33099999999996</v>
      </c>
      <c r="J24" s="27">
        <f>SUM(J22:M22)</f>
        <v>187.989</v>
      </c>
      <c r="K24" s="27"/>
      <c r="L24" s="27"/>
      <c r="M24" s="27"/>
    </row>
    <row r="25" spans="1:13" s="24" customFormat="1">
      <c r="A25" s="19" t="s">
        <v>60</v>
      </c>
      <c r="B25" s="28">
        <v>0</v>
      </c>
      <c r="C25" s="28">
        <v>0</v>
      </c>
      <c r="D25" s="28">
        <v>0</v>
      </c>
      <c r="E25" s="28">
        <v>0</v>
      </c>
      <c r="F25" s="28">
        <v>1</v>
      </c>
      <c r="G25" s="28">
        <v>0</v>
      </c>
      <c r="H25" s="28">
        <v>0</v>
      </c>
      <c r="I25" s="28">
        <v>0</v>
      </c>
      <c r="J25" s="28">
        <v>0</v>
      </c>
      <c r="K25" s="28"/>
      <c r="L25" s="28"/>
      <c r="M25" s="28"/>
    </row>
    <row r="26" spans="1:13" s="24" customFormat="1">
      <c r="A26" s="19" t="s">
        <v>61</v>
      </c>
      <c r="B26" s="29">
        <f>C26</f>
        <v>24.287000000000006</v>
      </c>
      <c r="C26" s="29">
        <f>234-C24</f>
        <v>24.287000000000006</v>
      </c>
      <c r="D26" s="29">
        <v>0</v>
      </c>
      <c r="E26" s="29">
        <v>0</v>
      </c>
      <c r="F26" s="29">
        <f>1+3</f>
        <v>4</v>
      </c>
      <c r="G26" s="29">
        <v>0</v>
      </c>
      <c r="H26" s="29">
        <f>1+3</f>
        <v>4</v>
      </c>
      <c r="I26" s="29">
        <v>0</v>
      </c>
      <c r="J26" s="29">
        <v>0</v>
      </c>
      <c r="K26" s="30"/>
      <c r="L26" s="30"/>
      <c r="M26" s="30"/>
    </row>
    <row r="27" spans="1:13" s="32" customFormat="1">
      <c r="A27" s="17" t="s">
        <v>62</v>
      </c>
      <c r="B27" s="27">
        <f t="shared" ref="B27:J27" si="4">SUM(B24:B26)</f>
        <v>232.804</v>
      </c>
      <c r="C27" s="27">
        <f t="shared" si="4"/>
        <v>234</v>
      </c>
      <c r="D27" s="27">
        <f t="shared" si="4"/>
        <v>206.40799999999999</v>
      </c>
      <c r="E27" s="27">
        <f t="shared" si="4"/>
        <v>202.01299999999998</v>
      </c>
      <c r="F27" s="27">
        <f t="shared" si="4"/>
        <v>199.64299999999997</v>
      </c>
      <c r="G27" s="27">
        <f t="shared" si="4"/>
        <v>188.72200000000001</v>
      </c>
      <c r="H27" s="27">
        <f t="shared" si="4"/>
        <v>190.643</v>
      </c>
      <c r="I27" s="27">
        <f t="shared" si="4"/>
        <v>180.33099999999996</v>
      </c>
      <c r="J27" s="27">
        <f t="shared" si="4"/>
        <v>187.989</v>
      </c>
      <c r="K27" s="31"/>
      <c r="L27" s="31"/>
      <c r="M27" s="31"/>
    </row>
    <row r="28" spans="1:13" s="24" customFormat="1"/>
    <row r="29" spans="1:13" s="17" customFormat="1">
      <c r="A29" s="17" t="s">
        <v>58</v>
      </c>
      <c r="B29" s="27">
        <f t="shared" ref="B29:M29" si="5">B22</f>
        <v>51.528999999999996</v>
      </c>
      <c r="C29" s="27">
        <f t="shared" si="5"/>
        <v>51.58</v>
      </c>
      <c r="D29" s="27">
        <f t="shared" si="5"/>
        <v>51.91</v>
      </c>
      <c r="E29" s="27">
        <f t="shared" si="5"/>
        <v>53.49799999999999</v>
      </c>
      <c r="F29" s="27">
        <f t="shared" si="5"/>
        <v>52.725000000000001</v>
      </c>
      <c r="G29" s="27">
        <f t="shared" si="5"/>
        <v>48.274999999999999</v>
      </c>
      <c r="H29" s="27">
        <f t="shared" si="5"/>
        <v>47.515000000000001</v>
      </c>
      <c r="I29" s="27">
        <f t="shared" si="5"/>
        <v>46.128</v>
      </c>
      <c r="J29" s="27">
        <f t="shared" si="5"/>
        <v>46.804000000000002</v>
      </c>
      <c r="K29" s="27">
        <f t="shared" si="5"/>
        <v>46.195999999999998</v>
      </c>
      <c r="L29" s="27">
        <f t="shared" si="5"/>
        <v>41.202999999999989</v>
      </c>
      <c r="M29" s="27">
        <f t="shared" si="5"/>
        <v>53.786000000000023</v>
      </c>
    </row>
    <row r="30" spans="1:13" s="33" customFormat="1">
      <c r="A30" s="20" t="s">
        <v>63</v>
      </c>
      <c r="B30" s="20">
        <f>-26.758-C30</f>
        <v>-16.094999999999999</v>
      </c>
      <c r="C30" s="20">
        <v>-10.663</v>
      </c>
      <c r="D30" s="20">
        <f>-24.398-10.516-G30-F30-E30</f>
        <v>-15.619000000000007</v>
      </c>
      <c r="E30" s="20">
        <f>-24.398-H30-G30-F30</f>
        <v>-3.4899999999999949</v>
      </c>
      <c r="F30" s="20">
        <f>-15.805-G30</f>
        <v>-7.1340000000000003</v>
      </c>
      <c r="G30" s="20">
        <v>-8.6709999999999994</v>
      </c>
      <c r="H30" s="20">
        <f>-28.216-K30-J30-I30</f>
        <v>-5.1030000000000033</v>
      </c>
      <c r="I30" s="20">
        <f>-23.113-K30-J30</f>
        <v>-6.8350000000000009</v>
      </c>
      <c r="J30" s="20">
        <f>-16.278-K30</f>
        <v>-7.868999999999998</v>
      </c>
      <c r="K30" s="20">
        <v>-8.4090000000000007</v>
      </c>
      <c r="L30" s="20">
        <f>-36.289+27.697</f>
        <v>-8.5920000000000023</v>
      </c>
      <c r="M30" s="20">
        <f>-27.697+17.541</f>
        <v>-10.155999999999999</v>
      </c>
    </row>
    <row r="31" spans="1:13" s="33" customFormat="1">
      <c r="A31" s="20" t="s">
        <v>64</v>
      </c>
      <c r="B31" s="20">
        <f>-0.513-C31</f>
        <v>-0.50900000000000001</v>
      </c>
      <c r="C31" s="20">
        <v>-4.0000000000000001E-3</v>
      </c>
      <c r="D31" s="20">
        <f>-6.797+0.482-G31-F31-E31</f>
        <v>-5.1999999999998714E-2</v>
      </c>
      <c r="E31" s="20">
        <f>-6.797-H31-G31-F31</f>
        <v>-3.5230000000000006</v>
      </c>
      <c r="F31" s="20">
        <f>-2.74-G31</f>
        <v>-2.74</v>
      </c>
      <c r="G31" s="20">
        <v>0</v>
      </c>
      <c r="H31" s="20">
        <f>-18.148-K31-J31-I31</f>
        <v>-0.53399999999999892</v>
      </c>
      <c r="I31" s="20">
        <f>-17.614-K31-J31</f>
        <v>-5.3150000000000013</v>
      </c>
      <c r="J31" s="20">
        <f>-12.299-K31</f>
        <v>-10.155999999999999</v>
      </c>
      <c r="K31" s="20">
        <v>-2.1429999999999998</v>
      </c>
      <c r="L31" s="20">
        <f>-1.016+0.243</f>
        <v>-0.77300000000000002</v>
      </c>
      <c r="M31" s="20">
        <f>-0.243+0.206</f>
        <v>-3.7000000000000005E-2</v>
      </c>
    </row>
    <row r="32" spans="1:13" s="33" customFormat="1">
      <c r="A32" s="20" t="s">
        <v>65</v>
      </c>
      <c r="B32" s="20">
        <f>-9.334-C32</f>
        <v>-9.1210000000000004</v>
      </c>
      <c r="C32" s="20">
        <v>-0.21299999999999999</v>
      </c>
      <c r="D32" s="20">
        <f>5.571+0.297+1.07+8.867-2.464-9.48+1.757-1.002-2.492+1.219-G32-F32-E32</f>
        <v>28.538</v>
      </c>
      <c r="E32" s="20">
        <f>-14.132-H32-G32-F32</f>
        <v>-29.788</v>
      </c>
      <c r="F32" s="20">
        <f>4.593-G32</f>
        <v>-2.0650000000000004</v>
      </c>
      <c r="G32" s="20">
        <v>6.6580000000000004</v>
      </c>
      <c r="H32" s="20">
        <f>-8.479+0.304+2.277-2.113-1.297-K32-J32-I32</f>
        <v>11.062999999999999</v>
      </c>
      <c r="I32" s="20">
        <f>-20.371-K32-J32</f>
        <v>-8.1839999999999993</v>
      </c>
      <c r="J32" s="20">
        <f>-12.187-K32</f>
        <v>-6.9529999999999994</v>
      </c>
      <c r="K32" s="20">
        <v>-5.234</v>
      </c>
      <c r="L32" s="20">
        <f>(-1.226+9.608-5.503-8.331-0.853)+9.279</f>
        <v>2.974000000000002</v>
      </c>
      <c r="M32" s="20">
        <f>-9.279+11.592</f>
        <v>2.3130000000000006</v>
      </c>
    </row>
    <row r="33" spans="1:13" s="33" customFormat="1">
      <c r="A33" s="20" t="s">
        <v>66</v>
      </c>
      <c r="B33" s="20">
        <f>-B19-B20-B21</f>
        <v>0</v>
      </c>
      <c r="C33" s="20">
        <f>-C19-C20-C21</f>
        <v>-0.29299999999999998</v>
      </c>
      <c r="D33" s="20">
        <f>-D19-D20-D21</f>
        <v>6.952</v>
      </c>
      <c r="E33" s="20">
        <f>-E19-E20-E21</f>
        <v>-20.407</v>
      </c>
      <c r="F33" s="20">
        <f>-F19-F20-F21</f>
        <v>-2.9660000000000011</v>
      </c>
      <c r="G33" s="20">
        <f t="shared" ref="G33:M33" si="6">-G19-G20-G21</f>
        <v>-2.0310000000000001</v>
      </c>
      <c r="H33" s="20">
        <f t="shared" si="6"/>
        <v>-3.4750000000000227</v>
      </c>
      <c r="I33" s="20">
        <f t="shared" si="6"/>
        <v>0</v>
      </c>
      <c r="J33" s="20">
        <f t="shared" si="6"/>
        <v>-1.7229999999999919</v>
      </c>
      <c r="K33" s="20">
        <f t="shared" si="6"/>
        <v>-1.5219999999999998</v>
      </c>
      <c r="L33" s="20">
        <f t="shared" si="6"/>
        <v>-3.5919999999999987</v>
      </c>
      <c r="M33" s="20">
        <f t="shared" si="6"/>
        <v>-2.3589999999999995</v>
      </c>
    </row>
    <row r="34" spans="1:13" s="33" customFormat="1">
      <c r="A34" s="20" t="s">
        <v>57</v>
      </c>
      <c r="B34" s="29">
        <f>B35-SUM(B29:B33)</f>
        <v>7.8000000000002956E-2</v>
      </c>
      <c r="C34" s="29">
        <f>C35-SUM(C29:C33)</f>
        <v>-3.1540000000000035</v>
      </c>
      <c r="D34" s="29">
        <f>D35-SUM(D29:D33)</f>
        <v>12.595000000000027</v>
      </c>
      <c r="E34" s="29">
        <f>E35-SUM(E29:E33)</f>
        <v>-17.701999999999984</v>
      </c>
      <c r="F34" s="29">
        <f>F35-SUM(F29:F33)</f>
        <v>-3.5559999999999974</v>
      </c>
      <c r="G34" s="29">
        <f t="shared" ref="G34:M34" si="7">G35-SUM(G29:G33)</f>
        <v>4.6239999999999952</v>
      </c>
      <c r="H34" s="29">
        <f t="shared" si="7"/>
        <v>-11.019999999999982</v>
      </c>
      <c r="I34" s="29">
        <f t="shared" si="7"/>
        <v>14.522000000000006</v>
      </c>
      <c r="J34" s="29">
        <f t="shared" si="7"/>
        <v>5.255999999999986</v>
      </c>
      <c r="K34" s="29">
        <f t="shared" si="7"/>
        <v>1.8180000000000014</v>
      </c>
      <c r="L34" s="29">
        <f t="shared" si="7"/>
        <v>-3.6499999999999986</v>
      </c>
      <c r="M34" s="29">
        <f t="shared" si="7"/>
        <v>-6.3210000000000193</v>
      </c>
    </row>
    <row r="35" spans="1:13" s="27" customFormat="1">
      <c r="A35" s="27" t="s">
        <v>67</v>
      </c>
      <c r="B35" s="27">
        <f>63.135-C35</f>
        <v>25.881999999999998</v>
      </c>
      <c r="C35" s="27">
        <v>37.253</v>
      </c>
      <c r="D35" s="27">
        <f>108.962+37.069-G35-F35-E35</f>
        <v>84.324000000000012</v>
      </c>
      <c r="E35" s="27">
        <f>100.153-H35-G35-F35</f>
        <v>-21.411999999999992</v>
      </c>
      <c r="F35" s="27">
        <f>83.119-G35</f>
        <v>34.264000000000003</v>
      </c>
      <c r="G35" s="27">
        <v>48.854999999999997</v>
      </c>
      <c r="H35" s="27">
        <f>134.827-K35-J35-I35</f>
        <v>38.445999999999998</v>
      </c>
      <c r="I35" s="27">
        <f>96.381-K35-J35</f>
        <v>40.316000000000003</v>
      </c>
      <c r="J35" s="27">
        <f>56.065-K35</f>
        <v>25.358999999999998</v>
      </c>
      <c r="K35" s="27">
        <v>30.706</v>
      </c>
      <c r="L35" s="27">
        <f>118.226-90.656</f>
        <v>27.569999999999993</v>
      </c>
      <c r="M35" s="27">
        <f>90.656-53.43</f>
        <v>37.226000000000006</v>
      </c>
    </row>
    <row r="36" spans="1:13" s="33" customFormat="1">
      <c r="A36" s="20" t="s">
        <v>68</v>
      </c>
      <c r="B36" s="29">
        <f>-52.712-C36</f>
        <v>-29.029000000000003</v>
      </c>
      <c r="C36" s="29">
        <v>-23.683</v>
      </c>
      <c r="D36" s="29">
        <f>-9.975-92.155-G36-F36-E36</f>
        <v>-27.478000000000009</v>
      </c>
      <c r="E36" s="29">
        <f>-91.524-H36-G36-F36</f>
        <v>-11.861999999999988</v>
      </c>
      <c r="F36" s="29">
        <f>-62.79-G36</f>
        <v>-27.226999999999997</v>
      </c>
      <c r="G36" s="29">
        <v>-35.563000000000002</v>
      </c>
      <c r="H36" s="29">
        <f>-92.035-K36-J36-I36</f>
        <v>-16.872000000000007</v>
      </c>
      <c r="I36" s="29">
        <f>-75.163-K36-J36</f>
        <v>-29.311999999999998</v>
      </c>
      <c r="J36" s="29">
        <f>-45.851-K36</f>
        <v>-20.875999999999998</v>
      </c>
      <c r="K36" s="29">
        <v>-24.975000000000001</v>
      </c>
      <c r="L36" s="29">
        <f>-61.351+49.657</f>
        <v>-11.694000000000003</v>
      </c>
      <c r="M36" s="29">
        <f>-49.657+33.09</f>
        <v>-16.566999999999993</v>
      </c>
    </row>
    <row r="37" spans="1:13" s="27" customFormat="1">
      <c r="A37" s="27" t="s">
        <v>69</v>
      </c>
      <c r="B37" s="27">
        <f>+B35+B36</f>
        <v>-3.1470000000000056</v>
      </c>
      <c r="C37" s="27">
        <f>+C35+C36</f>
        <v>13.57</v>
      </c>
      <c r="D37" s="27">
        <f>+D35+D36</f>
        <v>56.846000000000004</v>
      </c>
      <c r="E37" s="27">
        <f>+E35+E36</f>
        <v>-33.27399999999998</v>
      </c>
      <c r="F37" s="27">
        <f>+F35+F36</f>
        <v>7.0370000000000061</v>
      </c>
      <c r="G37" s="27">
        <f t="shared" ref="G37:M37" si="8">+G35+G36</f>
        <v>13.291999999999994</v>
      </c>
      <c r="H37" s="27">
        <f t="shared" si="8"/>
        <v>21.573999999999991</v>
      </c>
      <c r="I37" s="27">
        <f t="shared" si="8"/>
        <v>11.004000000000005</v>
      </c>
      <c r="J37" s="27">
        <f t="shared" si="8"/>
        <v>4.4830000000000005</v>
      </c>
      <c r="K37" s="27">
        <f t="shared" si="8"/>
        <v>5.7309999999999981</v>
      </c>
      <c r="L37" s="27">
        <f t="shared" si="8"/>
        <v>15.875999999999991</v>
      </c>
      <c r="M37" s="27">
        <f t="shared" si="8"/>
        <v>20.659000000000013</v>
      </c>
    </row>
    <row r="39" spans="1:13" s="35" customFormat="1">
      <c r="A39" s="34" t="s">
        <v>70</v>
      </c>
      <c r="B39" s="20">
        <f>C39</f>
        <v>0</v>
      </c>
      <c r="C39" s="20">
        <v>0</v>
      </c>
      <c r="D39" s="20">
        <v>0</v>
      </c>
      <c r="E39" s="20">
        <v>16</v>
      </c>
      <c r="F39" s="20">
        <v>0</v>
      </c>
      <c r="G39" s="20">
        <v>0</v>
      </c>
      <c r="H39" s="20">
        <v>0</v>
      </c>
      <c r="I39" s="20">
        <v>0</v>
      </c>
      <c r="J39" s="20">
        <v>0</v>
      </c>
      <c r="K39" s="20"/>
      <c r="L39" s="20"/>
      <c r="M39" s="20"/>
    </row>
    <row r="40" spans="1:13" s="35" customFormat="1">
      <c r="A40" s="34" t="s">
        <v>71</v>
      </c>
      <c r="B40" s="20">
        <f>C40</f>
        <v>1058</v>
      </c>
      <c r="C40" s="20">
        <v>1058</v>
      </c>
      <c r="D40" s="20">
        <f>890</f>
        <v>890</v>
      </c>
      <c r="E40" s="20">
        <v>890</v>
      </c>
      <c r="F40" s="20">
        <v>890</v>
      </c>
      <c r="G40" s="20">
        <f>724.177+7.345</f>
        <v>731.52200000000005</v>
      </c>
      <c r="H40" s="20">
        <f>671.51+9.092</f>
        <v>680.60199999999998</v>
      </c>
      <c r="I40" s="20">
        <f>688.851+7.339</f>
        <v>696.19</v>
      </c>
      <c r="J40" s="20">
        <f>685.687+7.336</f>
        <v>693.02300000000002</v>
      </c>
      <c r="K40" s="20"/>
      <c r="L40" s="20"/>
      <c r="M40" s="20"/>
    </row>
    <row r="41" spans="1:13" s="35" customFormat="1">
      <c r="A41" s="34" t="s">
        <v>72</v>
      </c>
      <c r="B41" s="20">
        <f>C41</f>
        <v>1364</v>
      </c>
      <c r="C41" s="20">
        <f>C39+C40+305+1</f>
        <v>1364</v>
      </c>
      <c r="D41" s="20">
        <f>D39+D40+305</f>
        <v>1195</v>
      </c>
      <c r="E41" s="20">
        <f>E39+E40+305</f>
        <v>1211</v>
      </c>
      <c r="F41" s="20">
        <f>F39+F40+305+2</f>
        <v>1197</v>
      </c>
      <c r="G41" s="20">
        <f>G39+G40</f>
        <v>731.52200000000005</v>
      </c>
      <c r="H41" s="20">
        <f>H39+H40</f>
        <v>680.60199999999998</v>
      </c>
      <c r="I41" s="20">
        <f>I39+I40</f>
        <v>696.19</v>
      </c>
      <c r="J41" s="20">
        <f>J39+J40</f>
        <v>693.02300000000002</v>
      </c>
      <c r="K41" s="20"/>
      <c r="L41" s="20"/>
      <c r="M41" s="20"/>
    </row>
    <row r="42" spans="1:13" s="35" customFormat="1">
      <c r="A42" s="34" t="s">
        <v>73</v>
      </c>
      <c r="B42" s="36">
        <f>C42</f>
        <v>797</v>
      </c>
      <c r="C42" s="36">
        <v>797</v>
      </c>
      <c r="D42" s="36">
        <v>785</v>
      </c>
      <c r="E42" s="36">
        <v>785</v>
      </c>
      <c r="F42" s="36">
        <v>785</v>
      </c>
      <c r="G42" s="36">
        <v>785</v>
      </c>
      <c r="H42" s="36">
        <v>785</v>
      </c>
      <c r="I42" s="36">
        <v>785</v>
      </c>
      <c r="J42" s="36">
        <v>785</v>
      </c>
      <c r="K42" s="36"/>
      <c r="L42" s="36"/>
      <c r="M42" s="36"/>
    </row>
    <row r="43" spans="1:13">
      <c r="B43" s="35"/>
      <c r="C43" s="35"/>
      <c r="D43" s="35"/>
      <c r="E43" s="35"/>
      <c r="F43" s="35"/>
      <c r="G43" s="35"/>
      <c r="H43" s="35"/>
    </row>
    <row r="44" spans="1:13">
      <c r="A44" s="19" t="s">
        <v>74</v>
      </c>
      <c r="B44" s="28">
        <v>27.042999999999999</v>
      </c>
      <c r="C44" s="28">
        <v>19</v>
      </c>
      <c r="D44" s="28">
        <v>21.004999999999999</v>
      </c>
      <c r="E44" s="28">
        <v>26.704999999999998</v>
      </c>
      <c r="F44" s="28">
        <v>0.82399999999999995</v>
      </c>
      <c r="G44" s="28">
        <v>0.65</v>
      </c>
      <c r="H44" s="28">
        <v>6.6989999999999998</v>
      </c>
      <c r="I44" s="28">
        <v>4.0000000000000001E-3</v>
      </c>
      <c r="J44" s="28">
        <v>24.263000000000002</v>
      </c>
      <c r="K44" s="28"/>
      <c r="L44" s="28"/>
      <c r="M44" s="28"/>
    </row>
    <row r="46" spans="1:13">
      <c r="A46" s="14" t="s">
        <v>75</v>
      </c>
      <c r="B46" s="33">
        <f t="shared" ref="B46:J46" si="9">SUM(B12:E12)</f>
        <v>694.87400000000002</v>
      </c>
      <c r="C46" s="33">
        <f t="shared" si="9"/>
        <v>675.11</v>
      </c>
      <c r="D46" s="33">
        <f t="shared" si="9"/>
        <v>663.80600000000004</v>
      </c>
      <c r="E46" s="33">
        <f t="shared" si="9"/>
        <v>650.78099999999995</v>
      </c>
      <c r="F46" s="33">
        <f t="shared" si="9"/>
        <v>637.28500000000008</v>
      </c>
      <c r="G46" s="33">
        <f t="shared" si="9"/>
        <v>625.33899999999994</v>
      </c>
      <c r="H46" s="33">
        <f t="shared" si="9"/>
        <v>615.274</v>
      </c>
      <c r="I46" s="33">
        <f t="shared" si="9"/>
        <v>605.9860000000001</v>
      </c>
      <c r="J46" s="33">
        <f t="shared" si="9"/>
        <v>597.16200000000003</v>
      </c>
    </row>
    <row r="47" spans="1:13">
      <c r="A47" s="14" t="s">
        <v>76</v>
      </c>
      <c r="B47" s="33">
        <f t="shared" ref="B47:J47" si="10">+B27</f>
        <v>232.804</v>
      </c>
      <c r="C47" s="58">
        <f t="shared" si="10"/>
        <v>234</v>
      </c>
      <c r="D47" s="33">
        <f t="shared" si="10"/>
        <v>206.40799999999999</v>
      </c>
      <c r="E47" s="33">
        <f t="shared" si="10"/>
        <v>202.01299999999998</v>
      </c>
      <c r="F47" s="33">
        <f t="shared" si="10"/>
        <v>199.64299999999997</v>
      </c>
      <c r="G47" s="33">
        <f t="shared" si="10"/>
        <v>188.72200000000001</v>
      </c>
      <c r="H47" s="33">
        <f t="shared" si="10"/>
        <v>190.643</v>
      </c>
      <c r="I47" s="33">
        <f t="shared" si="10"/>
        <v>180.33099999999996</v>
      </c>
      <c r="J47" s="33">
        <f t="shared" si="10"/>
        <v>187.989</v>
      </c>
    </row>
    <row r="48" spans="1:13">
      <c r="A48" s="14" t="s">
        <v>77</v>
      </c>
      <c r="B48" s="33">
        <f t="shared" ref="B48:J48" si="11">+SUM(B37:E37)</f>
        <v>33.995000000000026</v>
      </c>
      <c r="C48" s="33">
        <f t="shared" si="11"/>
        <v>44.179000000000023</v>
      </c>
      <c r="D48" s="33">
        <f t="shared" si="11"/>
        <v>43.901000000000025</v>
      </c>
      <c r="E48" s="33">
        <f t="shared" si="11"/>
        <v>8.629000000000012</v>
      </c>
      <c r="F48" s="33">
        <f t="shared" si="11"/>
        <v>52.906999999999996</v>
      </c>
      <c r="G48" s="33">
        <f t="shared" si="11"/>
        <v>50.352999999999994</v>
      </c>
      <c r="H48" s="33">
        <f t="shared" si="11"/>
        <v>42.791999999999987</v>
      </c>
      <c r="I48" s="33">
        <f t="shared" si="11"/>
        <v>37.093999999999994</v>
      </c>
      <c r="J48" s="33">
        <f t="shared" si="11"/>
        <v>46.749000000000002</v>
      </c>
    </row>
    <row r="50" spans="1:13" s="37" customFormat="1">
      <c r="A50" s="37" t="s">
        <v>78</v>
      </c>
      <c r="B50" s="37">
        <f t="shared" ref="B50" si="12">+SUM(B39:B40)/B47</f>
        <v>4.5445954536863624</v>
      </c>
      <c r="C50" s="37">
        <f t="shared" ref="C50:J50" si="13">+SUM(C39:C40)/C47</f>
        <v>4.5213675213675213</v>
      </c>
      <c r="D50" s="37">
        <f t="shared" si="13"/>
        <v>4.311848377969846</v>
      </c>
      <c r="E50" s="37">
        <f t="shared" si="13"/>
        <v>4.4848598852549095</v>
      </c>
      <c r="F50" s="37">
        <f t="shared" si="13"/>
        <v>4.4579574540554896</v>
      </c>
      <c r="G50" s="37">
        <f t="shared" si="13"/>
        <v>3.876188255741249</v>
      </c>
      <c r="H50" s="37">
        <f t="shared" si="13"/>
        <v>3.5700340426871167</v>
      </c>
      <c r="I50" s="37">
        <f t="shared" si="13"/>
        <v>3.8606229655466904</v>
      </c>
      <c r="J50" s="37">
        <f t="shared" si="13"/>
        <v>3.6865082531424713</v>
      </c>
    </row>
    <row r="51" spans="1:13" s="37" customFormat="1">
      <c r="A51" s="37" t="s">
        <v>79</v>
      </c>
      <c r="B51" s="37">
        <f t="shared" ref="B51:J51" si="14">+B41/B47</f>
        <v>5.8590058590058591</v>
      </c>
      <c r="C51" s="37">
        <f t="shared" si="14"/>
        <v>5.8290598290598288</v>
      </c>
      <c r="D51" s="37">
        <f t="shared" si="14"/>
        <v>5.7895042827797374</v>
      </c>
      <c r="E51" s="37">
        <f t="shared" si="14"/>
        <v>5.9946637097612534</v>
      </c>
      <c r="F51" s="37">
        <f t="shared" si="14"/>
        <v>5.9957023286566526</v>
      </c>
      <c r="G51" s="37">
        <f t="shared" si="14"/>
        <v>3.876188255741249</v>
      </c>
      <c r="H51" s="37">
        <f t="shared" si="14"/>
        <v>3.5700340426871167</v>
      </c>
      <c r="I51" s="37">
        <f t="shared" si="14"/>
        <v>3.8606229655466904</v>
      </c>
      <c r="J51" s="37">
        <f t="shared" si="14"/>
        <v>3.6865082531424713</v>
      </c>
    </row>
    <row r="52" spans="1:13" s="37" customFormat="1">
      <c r="A52" s="37" t="s">
        <v>80</v>
      </c>
      <c r="B52" s="37">
        <f t="shared" ref="B52:J52" si="15">+(B41-B44)/B47</f>
        <v>5.7428437655710391</v>
      </c>
      <c r="C52" s="37">
        <f t="shared" si="15"/>
        <v>5.7478632478632479</v>
      </c>
      <c r="D52" s="37">
        <f t="shared" si="15"/>
        <v>5.6877398162861903</v>
      </c>
      <c r="E52" s="37">
        <f t="shared" si="15"/>
        <v>5.8624692470286579</v>
      </c>
      <c r="F52" s="37">
        <f t="shared" si="15"/>
        <v>5.9915749613059317</v>
      </c>
      <c r="G52" s="37">
        <f t="shared" si="15"/>
        <v>3.872744036201397</v>
      </c>
      <c r="H52" s="37">
        <f t="shared" si="15"/>
        <v>3.5348950656462605</v>
      </c>
      <c r="I52" s="37">
        <f t="shared" si="15"/>
        <v>3.8606007841136587</v>
      </c>
      <c r="J52" s="37">
        <f t="shared" si="15"/>
        <v>3.5574421907664808</v>
      </c>
    </row>
    <row r="53" spans="1:13" s="38" customFormat="1">
      <c r="A53" s="38" t="s">
        <v>81</v>
      </c>
      <c r="B53" s="38">
        <f t="shared" ref="B53:J53" si="16">+B48/B41</f>
        <v>2.4923020527859257E-2</v>
      </c>
      <c r="C53" s="38">
        <f t="shared" si="16"/>
        <v>3.2389296187683304E-2</v>
      </c>
      <c r="D53" s="38">
        <f t="shared" si="16"/>
        <v>3.6737238493723873E-2</v>
      </c>
      <c r="E53" s="38">
        <f t="shared" si="16"/>
        <v>7.1255161023947248E-3</v>
      </c>
      <c r="F53" s="38">
        <f t="shared" si="16"/>
        <v>4.4199665831244773E-2</v>
      </c>
      <c r="G53" s="38">
        <f t="shared" si="16"/>
        <v>6.8833199821741506E-2</v>
      </c>
      <c r="H53" s="38">
        <f t="shared" si="16"/>
        <v>6.2873750003673207E-2</v>
      </c>
      <c r="I53" s="38">
        <f t="shared" si="16"/>
        <v>5.3281431793044988E-2</v>
      </c>
      <c r="J53" s="38">
        <f t="shared" si="16"/>
        <v>6.7456635638355439E-2</v>
      </c>
    </row>
    <row r="54" spans="1:13" s="38" customFormat="1">
      <c r="A54" s="39" t="s">
        <v>82</v>
      </c>
      <c r="B54" s="40"/>
      <c r="C54" s="40"/>
      <c r="D54" s="40"/>
      <c r="E54" s="40"/>
      <c r="F54" s="40"/>
      <c r="G54" s="40"/>
      <c r="H54" s="40"/>
      <c r="I54" s="40"/>
      <c r="J54" s="40"/>
      <c r="K54" s="39"/>
      <c r="L54" s="39"/>
      <c r="M54" s="39"/>
    </row>
    <row r="55" spans="1:13" s="38" customFormat="1">
      <c r="A55" s="38" t="s">
        <v>83</v>
      </c>
      <c r="B55" s="41">
        <f t="shared" ref="B55:J55" si="17">IF(B42=0,IF(B54="","","*"&amp;TEXT(B54,"0.0x")),(B41+B42-B44)/B47)</f>
        <v>9.1663244617790074</v>
      </c>
      <c r="C55" s="41">
        <f t="shared" si="17"/>
        <v>9.1538461538461533</v>
      </c>
      <c r="D55" s="41">
        <f t="shared" si="17"/>
        <v>9.4908869811247634</v>
      </c>
      <c r="E55" s="41">
        <f t="shared" si="17"/>
        <v>9.748357778954821</v>
      </c>
      <c r="F55" s="41">
        <f t="shared" si="17"/>
        <v>9.9235936146020656</v>
      </c>
      <c r="G55" s="41">
        <f t="shared" si="17"/>
        <v>8.0323014804845219</v>
      </c>
      <c r="H55" s="41">
        <f t="shared" si="17"/>
        <v>7.6525390389366503</v>
      </c>
      <c r="I55" s="41">
        <f t="shared" si="17"/>
        <v>8.2137070165418056</v>
      </c>
      <c r="J55" s="41">
        <f t="shared" si="17"/>
        <v>7.7332184329934206</v>
      </c>
      <c r="K55" s="41" t="str">
        <f>IF(K42=0,IF(K54="","",CONCATENATE("* ",K54,"x")),(K41+K42-K44)/K47)</f>
        <v/>
      </c>
      <c r="L55" s="41" t="str">
        <f>IF(L42=0,IF(L54="","",CONCATENATE("* ",L54,"x")),(L41+L42-L44)/L47)</f>
        <v/>
      </c>
      <c r="M55" s="41" t="str">
        <f>IF(M42=0,IF(M54="","",CONCATENATE("* ",M54,"x")),(M41+M42-M44)/M47)</f>
        <v/>
      </c>
    </row>
    <row r="56" spans="1:13">
      <c r="J56" s="42"/>
    </row>
    <row r="57" spans="1:13" ht="80.25" customHeight="1">
      <c r="A57" s="43" t="s">
        <v>84</v>
      </c>
      <c r="B57" s="44"/>
      <c r="C57" s="44"/>
      <c r="D57" s="44"/>
      <c r="E57" s="44"/>
      <c r="F57" s="44"/>
      <c r="G57" s="44"/>
      <c r="H57" s="44"/>
      <c r="I57" s="44"/>
      <c r="J57" s="44"/>
      <c r="K57" s="44"/>
      <c r="L57" s="44"/>
      <c r="M57" s="44"/>
    </row>
    <row r="58" spans="1:13">
      <c r="A58" s="45"/>
      <c r="B58" s="42"/>
      <c r="C58" s="42"/>
      <c r="D58" s="42"/>
      <c r="E58" s="42"/>
      <c r="F58" s="42"/>
    </row>
    <row r="59" spans="1:13">
      <c r="A59" s="45"/>
    </row>
  </sheetData>
  <pageMargins left="0.7" right="0.7" top="0.75" bottom="0.75" header="0.3" footer="0.3"/>
  <pageSetup orientation="portrait" r:id="rId1"/>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2:V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9" width="10.6640625" style="14" customWidth="1"/>
    <col min="20" max="16384" width="9.109375" style="14"/>
  </cols>
  <sheetData>
    <row r="2" spans="1:22">
      <c r="A2" s="13" t="s">
        <v>44</v>
      </c>
      <c r="B2" s="14" t="s">
        <v>209</v>
      </c>
    </row>
    <row r="3" spans="1:22" s="16" customFormat="1">
      <c r="A3" s="15" t="s">
        <v>45</v>
      </c>
      <c r="B3" s="16" t="s">
        <v>208</v>
      </c>
    </row>
    <row r="4" spans="1:22">
      <c r="A4" s="13" t="s">
        <v>2</v>
      </c>
      <c r="B4" s="14" t="s">
        <v>4</v>
      </c>
    </row>
    <row r="5" spans="1:22">
      <c r="A5" s="13" t="s">
        <v>46</v>
      </c>
    </row>
    <row r="6" spans="1:22">
      <c r="A6" s="13" t="s">
        <v>47</v>
      </c>
      <c r="B6" s="14">
        <v>3</v>
      </c>
    </row>
    <row r="7" spans="1:22">
      <c r="A7" s="13" t="s">
        <v>48</v>
      </c>
      <c r="B7" s="14" t="s">
        <v>457</v>
      </c>
    </row>
    <row r="8" spans="1:22">
      <c r="A8" s="13" t="s">
        <v>347</v>
      </c>
      <c r="B8" s="14" t="s">
        <v>374</v>
      </c>
    </row>
    <row r="9" spans="1:22">
      <c r="A9" s="17"/>
    </row>
    <row r="10" spans="1:22">
      <c r="A10" s="17" t="s">
        <v>49</v>
      </c>
      <c r="B10" s="18">
        <v>44377</v>
      </c>
      <c r="C10" s="18">
        <v>44286</v>
      </c>
      <c r="D10" s="18">
        <v>44196</v>
      </c>
      <c r="E10" s="18">
        <v>44104</v>
      </c>
      <c r="F10" s="18">
        <v>44012</v>
      </c>
      <c r="G10" s="18">
        <v>43921</v>
      </c>
      <c r="H10" s="18">
        <v>43830</v>
      </c>
      <c r="I10" s="18">
        <v>43738</v>
      </c>
      <c r="J10" s="18">
        <v>43646</v>
      </c>
      <c r="K10" s="18">
        <v>43555</v>
      </c>
      <c r="L10" s="18">
        <v>43465</v>
      </c>
      <c r="M10" s="18">
        <v>43373</v>
      </c>
      <c r="N10" s="18">
        <v>43281</v>
      </c>
      <c r="O10" s="18">
        <v>43190</v>
      </c>
      <c r="P10" s="18">
        <v>43100</v>
      </c>
      <c r="Q10" s="18">
        <v>43008</v>
      </c>
      <c r="R10" s="18">
        <f t="shared" ref="R10:S10" si="0">EOMONTH(Q10,-3)</f>
        <v>42916</v>
      </c>
      <c r="S10" s="18">
        <f t="shared" si="0"/>
        <v>42825</v>
      </c>
    </row>
    <row r="11" spans="1:22">
      <c r="B11" s="33"/>
      <c r="C11" s="33"/>
      <c r="D11" s="33"/>
      <c r="E11" s="33"/>
      <c r="F11" s="33"/>
      <c r="G11" s="33"/>
      <c r="H11" s="33"/>
      <c r="I11" s="33"/>
      <c r="L11" s="90"/>
      <c r="U11" s="33"/>
    </row>
    <row r="12" spans="1:22">
      <c r="A12" s="19" t="s">
        <v>50</v>
      </c>
      <c r="B12" s="20">
        <v>65.5</v>
      </c>
      <c r="C12" s="20">
        <v>60.2</v>
      </c>
      <c r="D12" s="20">
        <v>64.3</v>
      </c>
      <c r="E12" s="20">
        <v>60.7</v>
      </c>
      <c r="F12" s="20">
        <v>54.8</v>
      </c>
      <c r="G12" s="20">
        <v>75.5</v>
      </c>
      <c r="H12" s="20">
        <v>83</v>
      </c>
      <c r="I12" s="20">
        <v>75.5</v>
      </c>
      <c r="J12" s="20">
        <v>73.7</v>
      </c>
      <c r="K12" s="20">
        <v>72.3</v>
      </c>
      <c r="L12" s="20">
        <v>64.7</v>
      </c>
      <c r="M12" s="20">
        <v>69.5</v>
      </c>
      <c r="N12" s="20">
        <v>71.5</v>
      </c>
      <c r="O12" s="20">
        <v>68.8</v>
      </c>
      <c r="P12" s="20">
        <f>262.7-Q12-R12-S12</f>
        <v>72.59999999999998</v>
      </c>
      <c r="Q12" s="20">
        <f>190.1-R12-S12</f>
        <v>65.599999999999994</v>
      </c>
      <c r="R12" s="20">
        <f>124.5-S12</f>
        <v>63.2</v>
      </c>
      <c r="S12" s="20">
        <v>61.3</v>
      </c>
      <c r="U12" s="33"/>
      <c r="V12" s="33"/>
    </row>
    <row r="13" spans="1:22" s="21" customFormat="1">
      <c r="A13" s="21" t="s">
        <v>51</v>
      </c>
      <c r="B13" s="21">
        <f t="shared" ref="B13:O13" si="1">B12/F12-1</f>
        <v>0.19525547445255476</v>
      </c>
      <c r="C13" s="21">
        <f t="shared" si="1"/>
        <v>-0.2026490066225165</v>
      </c>
      <c r="D13" s="21">
        <f t="shared" si="1"/>
        <v>-0.22530120481927718</v>
      </c>
      <c r="E13" s="21">
        <f t="shared" si="1"/>
        <v>-0.19602649006622508</v>
      </c>
      <c r="F13" s="21">
        <f t="shared" si="1"/>
        <v>-0.25644504748982366</v>
      </c>
      <c r="G13" s="21">
        <f t="shared" si="1"/>
        <v>4.4260027662517354E-2</v>
      </c>
      <c r="H13" s="21">
        <f t="shared" si="1"/>
        <v>0.28284389489953621</v>
      </c>
      <c r="I13" s="21">
        <f t="shared" si="1"/>
        <v>8.6330935251798468E-2</v>
      </c>
      <c r="J13" s="21">
        <f t="shared" si="1"/>
        <v>3.0769230769230882E-2</v>
      </c>
      <c r="K13" s="21">
        <f t="shared" si="1"/>
        <v>5.0872093023255793E-2</v>
      </c>
      <c r="L13" s="21">
        <f t="shared" si="1"/>
        <v>-0.10881542699724489</v>
      </c>
      <c r="M13" s="21">
        <f t="shared" si="1"/>
        <v>5.945121951219523E-2</v>
      </c>
      <c r="N13" s="21">
        <f t="shared" si="1"/>
        <v>0.13132911392405067</v>
      </c>
      <c r="O13" s="21">
        <f t="shared" si="1"/>
        <v>0.1223491027732464</v>
      </c>
    </row>
    <row r="14" spans="1:22"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t="s">
        <v>3</v>
      </c>
      <c r="P14" s="23"/>
      <c r="Q14" s="23"/>
      <c r="R14" s="23"/>
      <c r="S14" s="23"/>
      <c r="U14" s="14"/>
    </row>
    <row r="15" spans="1:22">
      <c r="B15" s="90"/>
      <c r="C15" s="90"/>
      <c r="D15" s="90"/>
      <c r="E15" s="90"/>
      <c r="F15" s="90"/>
      <c r="G15" s="90"/>
      <c r="H15" s="90"/>
      <c r="I15" s="90"/>
      <c r="J15" s="90"/>
      <c r="K15" s="90"/>
    </row>
    <row r="16" spans="1:22" s="17" customFormat="1">
      <c r="A16" s="25" t="s">
        <v>53</v>
      </c>
      <c r="B16" s="26">
        <v>8</v>
      </c>
      <c r="C16" s="26">
        <v>6.4</v>
      </c>
      <c r="D16" s="26">
        <v>6.2</v>
      </c>
      <c r="E16" s="26">
        <v>8.3000000000000007</v>
      </c>
      <c r="F16" s="26">
        <v>22.1</v>
      </c>
      <c r="G16" s="26">
        <v>11.8</v>
      </c>
      <c r="H16" s="26">
        <v>15.9</v>
      </c>
      <c r="I16" s="26">
        <v>13.6</v>
      </c>
      <c r="J16" s="26">
        <v>15.2</v>
      </c>
      <c r="K16" s="26">
        <v>13.8</v>
      </c>
      <c r="L16" s="26">
        <v>13.4</v>
      </c>
      <c r="M16" s="26">
        <v>14.6</v>
      </c>
      <c r="N16" s="26">
        <v>14.1</v>
      </c>
      <c r="O16" s="26">
        <v>12.8</v>
      </c>
      <c r="P16" s="26">
        <f>61.9-Q16-R16-S16</f>
        <v>18.099999999999998</v>
      </c>
      <c r="Q16" s="26">
        <f>43.8-R16-S16</f>
        <v>15.099999999999998</v>
      </c>
      <c r="R16" s="26">
        <f>28.7-S16</f>
        <v>15.2</v>
      </c>
      <c r="S16" s="26">
        <v>13.5</v>
      </c>
      <c r="U16" s="33"/>
      <c r="V16" s="27"/>
    </row>
    <row r="17" spans="1:21" s="21" customFormat="1">
      <c r="A17" s="21" t="s">
        <v>54</v>
      </c>
      <c r="B17" s="21">
        <f t="shared" ref="B17:C17" si="2">B16/B12</f>
        <v>0.12213740458015267</v>
      </c>
      <c r="C17" s="21">
        <f t="shared" si="2"/>
        <v>0.10631229235880399</v>
      </c>
      <c r="D17" s="21">
        <f t="shared" ref="D17:E17" si="3">D16/D12</f>
        <v>9.6423017107309494E-2</v>
      </c>
      <c r="E17" s="21">
        <f t="shared" si="3"/>
        <v>0.13673805601317957</v>
      </c>
      <c r="F17" s="21">
        <f t="shared" ref="F17:G17" si="4">F16/F12</f>
        <v>0.40328467153284675</v>
      </c>
      <c r="G17" s="21">
        <f t="shared" si="4"/>
        <v>0.15629139072847684</v>
      </c>
      <c r="H17" s="21">
        <f t="shared" ref="H17:I17" si="5">H16/H12</f>
        <v>0.19156626506024096</v>
      </c>
      <c r="I17" s="21">
        <f t="shared" si="5"/>
        <v>0.18013245033112582</v>
      </c>
      <c r="J17" s="21">
        <f t="shared" ref="J17:K17" si="6">J16/J12</f>
        <v>0.20624151967435547</v>
      </c>
      <c r="K17" s="21">
        <f t="shared" si="6"/>
        <v>0.19087136929460582</v>
      </c>
      <c r="L17" s="21">
        <f t="shared" ref="L17:S17" si="7">L16/L12</f>
        <v>0.2071097372488408</v>
      </c>
      <c r="M17" s="21">
        <f t="shared" si="7"/>
        <v>0.21007194244604316</v>
      </c>
      <c r="N17" s="21">
        <f t="shared" si="7"/>
        <v>0.19720279720279721</v>
      </c>
      <c r="O17" s="21">
        <f t="shared" si="7"/>
        <v>0.186046511627907</v>
      </c>
      <c r="P17" s="21">
        <f t="shared" si="7"/>
        <v>0.24931129476584027</v>
      </c>
      <c r="Q17" s="21">
        <f t="shared" si="7"/>
        <v>0.23018292682926828</v>
      </c>
      <c r="R17" s="21">
        <f t="shared" si="7"/>
        <v>0.24050632911392403</v>
      </c>
      <c r="S17" s="21">
        <f t="shared" si="7"/>
        <v>0.22022838499184341</v>
      </c>
    </row>
    <row r="18" spans="1:21" s="24" customFormat="1"/>
    <row r="19" spans="1:21"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row>
    <row r="20" spans="1:21"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row>
    <row r="21" spans="1:21"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U21" s="87"/>
    </row>
    <row r="22" spans="1:21" s="17" customFormat="1">
      <c r="A22" s="17" t="s">
        <v>58</v>
      </c>
      <c r="B22" s="27">
        <f t="shared" ref="B22:C22" si="8">B16+B19+B20+B21</f>
        <v>8</v>
      </c>
      <c r="C22" s="27">
        <f t="shared" si="8"/>
        <v>6.4</v>
      </c>
      <c r="D22" s="27">
        <f t="shared" ref="D22:E22" si="9">D16+D19+D20+D21</f>
        <v>6.2</v>
      </c>
      <c r="E22" s="27">
        <f t="shared" si="9"/>
        <v>8.3000000000000007</v>
      </c>
      <c r="F22" s="27">
        <f t="shared" ref="F22:G22" si="10">F16+F19+F20+F21</f>
        <v>22.1</v>
      </c>
      <c r="G22" s="27">
        <f t="shared" si="10"/>
        <v>11.8</v>
      </c>
      <c r="H22" s="27">
        <f t="shared" ref="H22:I22" si="11">H16+H19+H20+H21</f>
        <v>15.9</v>
      </c>
      <c r="I22" s="27">
        <f t="shared" si="11"/>
        <v>13.6</v>
      </c>
      <c r="J22" s="27">
        <f t="shared" ref="J22:K22" si="12">J16+J19+J20+J21</f>
        <v>15.2</v>
      </c>
      <c r="K22" s="27">
        <f t="shared" si="12"/>
        <v>13.8</v>
      </c>
      <c r="L22" s="27">
        <f t="shared" ref="L22:S22" si="13">L16+L19+L20+L21</f>
        <v>13.4</v>
      </c>
      <c r="M22" s="27">
        <f t="shared" si="13"/>
        <v>14.6</v>
      </c>
      <c r="N22" s="27">
        <f t="shared" si="13"/>
        <v>14.1</v>
      </c>
      <c r="O22" s="27">
        <f t="shared" si="13"/>
        <v>12.8</v>
      </c>
      <c r="P22" s="27">
        <f t="shared" si="13"/>
        <v>18.099999999999998</v>
      </c>
      <c r="Q22" s="27">
        <f t="shared" si="13"/>
        <v>15.099999999999998</v>
      </c>
      <c r="R22" s="27">
        <f t="shared" si="13"/>
        <v>15.2</v>
      </c>
      <c r="S22" s="27">
        <f t="shared" si="13"/>
        <v>13.5</v>
      </c>
    </row>
    <row r="23" spans="1:21" s="17" customFormat="1">
      <c r="B23" s="21"/>
      <c r="C23" s="21"/>
      <c r="D23" s="21"/>
      <c r="E23" s="21"/>
      <c r="F23" s="21"/>
      <c r="G23" s="21"/>
      <c r="H23" s="21"/>
      <c r="I23" s="21"/>
      <c r="J23" s="21"/>
      <c r="K23" s="21"/>
      <c r="L23" s="21"/>
      <c r="M23" s="21"/>
      <c r="N23" s="21"/>
      <c r="O23" s="21"/>
      <c r="P23" s="27"/>
      <c r="Q23" s="27"/>
      <c r="R23" s="27"/>
      <c r="S23" s="27"/>
      <c r="U23" s="87"/>
    </row>
    <row r="24" spans="1:21" s="17" customFormat="1">
      <c r="A24" s="17" t="s">
        <v>59</v>
      </c>
      <c r="B24" s="27">
        <f t="shared" ref="B24:P24" si="14">SUM(B22:E22)</f>
        <v>28.900000000000002</v>
      </c>
      <c r="C24" s="27">
        <f t="shared" si="14"/>
        <v>43</v>
      </c>
      <c r="D24" s="27">
        <f t="shared" si="14"/>
        <v>48.400000000000006</v>
      </c>
      <c r="E24" s="27">
        <f t="shared" si="14"/>
        <v>58.1</v>
      </c>
      <c r="F24" s="27">
        <f t="shared" si="14"/>
        <v>63.400000000000006</v>
      </c>
      <c r="G24" s="27">
        <f t="shared" si="14"/>
        <v>56.5</v>
      </c>
      <c r="H24" s="27">
        <f t="shared" si="14"/>
        <v>58.5</v>
      </c>
      <c r="I24" s="27">
        <f t="shared" si="14"/>
        <v>55.999999999999993</v>
      </c>
      <c r="J24" s="27">
        <f t="shared" si="14"/>
        <v>57</v>
      </c>
      <c r="K24" s="27">
        <f t="shared" si="14"/>
        <v>55.900000000000006</v>
      </c>
      <c r="L24" s="27">
        <f t="shared" si="14"/>
        <v>54.900000000000006</v>
      </c>
      <c r="M24" s="27">
        <f t="shared" si="14"/>
        <v>59.599999999999994</v>
      </c>
      <c r="N24" s="27">
        <f t="shared" si="14"/>
        <v>60.099999999999994</v>
      </c>
      <c r="O24" s="27">
        <f t="shared" si="14"/>
        <v>61.2</v>
      </c>
      <c r="P24" s="27">
        <f t="shared" si="14"/>
        <v>61.899999999999991</v>
      </c>
      <c r="Q24" s="27"/>
      <c r="R24" s="27"/>
      <c r="S24" s="27"/>
    </row>
    <row r="25" spans="1:21" s="24" customFormat="1">
      <c r="A25" s="19" t="s">
        <v>60</v>
      </c>
      <c r="B25" s="28">
        <f>42.501-B24</f>
        <v>13.600999999999996</v>
      </c>
      <c r="C25" s="28">
        <f>43.131-C24</f>
        <v>0.13100000000000023</v>
      </c>
      <c r="D25" s="28">
        <f>48.5-D24</f>
        <v>9.9999999999994316E-2</v>
      </c>
      <c r="E25" s="28">
        <f>59.889-E24</f>
        <v>1.7890000000000015</v>
      </c>
      <c r="F25" s="28">
        <f>65.103-F24</f>
        <v>1.7029999999999887</v>
      </c>
      <c r="G25" s="28">
        <f>56.552-G24</f>
        <v>5.1999999999999602E-2</v>
      </c>
      <c r="H25" s="28">
        <f>58.247-H24</f>
        <v>-0.25300000000000011</v>
      </c>
      <c r="I25" s="28">
        <f>55.941-I24</f>
        <v>-5.8999999999990393E-2</v>
      </c>
      <c r="J25" s="28">
        <f>57.843-J24</f>
        <v>0.84300000000000352</v>
      </c>
      <c r="K25" s="28">
        <f>57.177-K24</f>
        <v>1.2769999999999939</v>
      </c>
      <c r="L25" s="28">
        <f>56.2-L24</f>
        <v>1.2999999999999972</v>
      </c>
      <c r="M25" s="28">
        <v>0</v>
      </c>
      <c r="N25" s="28">
        <v>0</v>
      </c>
      <c r="O25" s="28">
        <v>0</v>
      </c>
      <c r="P25" s="28">
        <v>0</v>
      </c>
      <c r="Q25" s="28"/>
      <c r="R25" s="28"/>
      <c r="S25" s="28"/>
    </row>
    <row r="26" spans="1:21" s="24" customFormat="1">
      <c r="A26" s="19" t="s">
        <v>61</v>
      </c>
      <c r="B26" s="29">
        <v>0</v>
      </c>
      <c r="C26" s="29">
        <v>0</v>
      </c>
      <c r="D26" s="29">
        <v>0</v>
      </c>
      <c r="E26" s="29">
        <v>0</v>
      </c>
      <c r="F26" s="29">
        <v>0</v>
      </c>
      <c r="G26" s="29">
        <v>0</v>
      </c>
      <c r="H26" s="29">
        <v>0</v>
      </c>
      <c r="I26" s="29">
        <v>0</v>
      </c>
      <c r="J26" s="29">
        <v>0</v>
      </c>
      <c r="K26" s="29">
        <v>0</v>
      </c>
      <c r="L26" s="29">
        <v>0</v>
      </c>
      <c r="M26" s="29">
        <v>0</v>
      </c>
      <c r="N26" s="29">
        <v>0</v>
      </c>
      <c r="O26" s="29">
        <v>0</v>
      </c>
      <c r="P26" s="29">
        <v>0</v>
      </c>
      <c r="Q26" s="29"/>
      <c r="R26" s="29"/>
      <c r="S26" s="29"/>
    </row>
    <row r="27" spans="1:21" s="32" customFormat="1">
      <c r="A27" s="17" t="s">
        <v>62</v>
      </c>
      <c r="B27" s="27">
        <f t="shared" ref="B27" si="15">B24+B25+B26</f>
        <v>42.500999999999998</v>
      </c>
      <c r="C27" s="27">
        <f t="shared" ref="C27:D27" si="16">C24+C25+C26</f>
        <v>43.131</v>
      </c>
      <c r="D27" s="27">
        <f t="shared" si="16"/>
        <v>48.5</v>
      </c>
      <c r="E27" s="27">
        <f t="shared" ref="E27:F27" si="17">E24+E25+E26</f>
        <v>59.889000000000003</v>
      </c>
      <c r="F27" s="27">
        <f t="shared" si="17"/>
        <v>65.102999999999994</v>
      </c>
      <c r="G27" s="27">
        <f t="shared" ref="G27:H27" si="18">G24+G25+G26</f>
        <v>56.552</v>
      </c>
      <c r="H27" s="27">
        <f t="shared" si="18"/>
        <v>58.247</v>
      </c>
      <c r="I27" s="27">
        <f t="shared" ref="I27:P27" si="19">I24+I25+I26</f>
        <v>55.941000000000003</v>
      </c>
      <c r="J27" s="27">
        <f t="shared" si="19"/>
        <v>57.843000000000004</v>
      </c>
      <c r="K27" s="27">
        <f t="shared" si="19"/>
        <v>57.177</v>
      </c>
      <c r="L27" s="27">
        <f t="shared" si="19"/>
        <v>56.2</v>
      </c>
      <c r="M27" s="27">
        <f t="shared" si="19"/>
        <v>59.599999999999994</v>
      </c>
      <c r="N27" s="27">
        <f t="shared" si="19"/>
        <v>60.099999999999994</v>
      </c>
      <c r="O27" s="27">
        <f t="shared" si="19"/>
        <v>61.2</v>
      </c>
      <c r="P27" s="27">
        <f t="shared" si="19"/>
        <v>61.899999999999991</v>
      </c>
      <c r="Q27" s="27"/>
      <c r="R27" s="27"/>
      <c r="S27" s="27"/>
    </row>
    <row r="28" spans="1:21" s="24" customFormat="1"/>
    <row r="29" spans="1:21" s="17" customFormat="1">
      <c r="A29" s="17" t="s">
        <v>58</v>
      </c>
      <c r="B29" s="27">
        <f t="shared" ref="B29:C29" si="20">B22</f>
        <v>8</v>
      </c>
      <c r="C29" s="27">
        <f t="shared" si="20"/>
        <v>6.4</v>
      </c>
      <c r="D29" s="27">
        <f t="shared" ref="D29:E29" si="21">D22</f>
        <v>6.2</v>
      </c>
      <c r="E29" s="27">
        <f t="shared" si="21"/>
        <v>8.3000000000000007</v>
      </c>
      <c r="F29" s="27">
        <f t="shared" ref="F29:G29" si="22">F22</f>
        <v>22.1</v>
      </c>
      <c r="G29" s="27">
        <f t="shared" si="22"/>
        <v>11.8</v>
      </c>
      <c r="H29" s="27">
        <f t="shared" ref="H29:O29" si="23">H22</f>
        <v>15.9</v>
      </c>
      <c r="I29" s="27">
        <f t="shared" si="23"/>
        <v>13.6</v>
      </c>
      <c r="J29" s="27">
        <f t="shared" si="23"/>
        <v>15.2</v>
      </c>
      <c r="K29" s="27">
        <f t="shared" si="23"/>
        <v>13.8</v>
      </c>
      <c r="L29" s="27">
        <f t="shared" si="23"/>
        <v>13.4</v>
      </c>
      <c r="M29" s="27">
        <f t="shared" si="23"/>
        <v>14.6</v>
      </c>
      <c r="N29" s="27">
        <f t="shared" si="23"/>
        <v>14.1</v>
      </c>
      <c r="O29" s="27">
        <f t="shared" si="23"/>
        <v>12.8</v>
      </c>
      <c r="P29" s="27"/>
      <c r="Q29" s="27"/>
      <c r="R29" s="27"/>
      <c r="S29" s="27"/>
    </row>
    <row r="30" spans="1:21" s="33" customFormat="1">
      <c r="A30" s="20" t="s">
        <v>63</v>
      </c>
      <c r="B30" s="20"/>
      <c r="C30" s="20"/>
      <c r="D30" s="20"/>
      <c r="E30" s="20"/>
      <c r="F30" s="20"/>
      <c r="G30" s="20"/>
      <c r="H30" s="20"/>
      <c r="I30" s="20"/>
      <c r="J30" s="20"/>
      <c r="K30" s="20"/>
      <c r="L30" s="20"/>
      <c r="M30" s="20"/>
      <c r="N30" s="20"/>
      <c r="O30" s="20"/>
      <c r="P30" s="20"/>
      <c r="Q30" s="20"/>
      <c r="R30" s="20"/>
      <c r="S30" s="20"/>
    </row>
    <row r="31" spans="1:21" s="33" customFormat="1">
      <c r="A31" s="20" t="s">
        <v>64</v>
      </c>
      <c r="B31" s="20"/>
      <c r="C31" s="20"/>
      <c r="D31" s="20"/>
      <c r="E31" s="20"/>
      <c r="F31" s="20"/>
      <c r="G31" s="20"/>
      <c r="H31" s="20"/>
      <c r="I31" s="20"/>
      <c r="J31" s="20"/>
      <c r="K31" s="20"/>
      <c r="L31" s="20"/>
      <c r="M31" s="20"/>
      <c r="N31" s="20"/>
      <c r="O31" s="20"/>
      <c r="P31" s="20"/>
      <c r="Q31" s="20"/>
      <c r="R31" s="20"/>
      <c r="S31" s="20"/>
    </row>
    <row r="32" spans="1:21" s="33" customFormat="1">
      <c r="A32" s="20" t="s">
        <v>65</v>
      </c>
      <c r="B32" s="20">
        <f>2.4-1.3-3.2+3.5+2-C32</f>
        <v>1.0999999999999996</v>
      </c>
      <c r="C32" s="20">
        <f>-1.2+0.8-1.3+1+3</f>
        <v>2.2999999999999998</v>
      </c>
      <c r="D32" s="20">
        <f>14+5.1+8.8-13.6-0.8+0.8+9.3-E32-F32-G32</f>
        <v>20.100000000000001</v>
      </c>
      <c r="E32" s="20">
        <f>8.7+6.2-1.9-13.3+3.8-F32-G32</f>
        <v>-27.900000000000002</v>
      </c>
      <c r="F32" s="20">
        <f>(8.7+1.6-5.3-9.9+1.9)-(1.2+0.5-2.2-0.7-9.6)</f>
        <v>7.7999999999999989</v>
      </c>
      <c r="G32" s="20">
        <f>14+5.1+8.8-13.6+9.3</f>
        <v>23.6</v>
      </c>
      <c r="H32" s="20">
        <f>-11.8-3+1.9+6.1+0.3+0.6+15.3-I32-J32-K32</f>
        <v>13.799999999999997</v>
      </c>
      <c r="I32" s="20">
        <f>-7.1+6-0.8-2.5-J32-K32</f>
        <v>6.8</v>
      </c>
      <c r="J32" s="20">
        <f>-0.3+1.4-2.4-3.6-6.3-K32</f>
        <v>-6.8</v>
      </c>
      <c r="K32" s="20">
        <f>-7.1+6-0.8-2.5</f>
        <v>-4.3999999999999995</v>
      </c>
      <c r="L32" s="20">
        <f>-2.806+8.232-4.423+2.313-0.665-2.37+3.737-M32-N32-O32</f>
        <v>-0.28200000000000092</v>
      </c>
      <c r="M32" s="20">
        <f>6.9+3.6-6-1+0.8-N32-O32</f>
        <v>0.59999999999999964</v>
      </c>
      <c r="N32" s="20">
        <f>5.1+4-3+0.4-2.8-O32</f>
        <v>1.4</v>
      </c>
      <c r="O32" s="20">
        <f>-1.3-6.6+1+3.6+8.7-5+1.9</f>
        <v>2.3000000000000003</v>
      </c>
      <c r="P32" s="20"/>
      <c r="Q32" s="20"/>
      <c r="R32" s="20"/>
      <c r="S32" s="20"/>
    </row>
    <row r="33" spans="1:22" s="33" customFormat="1">
      <c r="A33" s="20" t="s">
        <v>66</v>
      </c>
      <c r="B33" s="20"/>
      <c r="C33" s="20"/>
      <c r="D33" s="20"/>
      <c r="E33" s="20"/>
      <c r="F33" s="20"/>
      <c r="G33" s="20"/>
      <c r="H33" s="20"/>
      <c r="I33" s="20"/>
      <c r="J33" s="20"/>
      <c r="K33" s="20"/>
      <c r="L33" s="20"/>
      <c r="M33" s="20"/>
      <c r="N33" s="20"/>
      <c r="O33" s="20"/>
      <c r="P33" s="20"/>
      <c r="Q33" s="20"/>
      <c r="R33" s="20"/>
      <c r="S33" s="20"/>
    </row>
    <row r="34" spans="1:22" s="33" customFormat="1">
      <c r="A34" s="20" t="s">
        <v>57</v>
      </c>
      <c r="B34" s="29"/>
      <c r="C34" s="29"/>
      <c r="D34" s="29"/>
      <c r="E34" s="29"/>
      <c r="F34" s="29"/>
      <c r="G34" s="29"/>
      <c r="H34" s="29"/>
      <c r="I34" s="29"/>
      <c r="J34" s="29"/>
      <c r="K34" s="29"/>
      <c r="L34" s="29"/>
      <c r="M34" s="29"/>
      <c r="N34" s="29"/>
      <c r="O34" s="29"/>
      <c r="P34" s="29"/>
      <c r="Q34" s="29"/>
      <c r="R34" s="29"/>
      <c r="S34" s="29"/>
      <c r="U34" s="27"/>
    </row>
    <row r="35" spans="1:22" s="27" customFormat="1">
      <c r="A35" s="27" t="s">
        <v>67</v>
      </c>
      <c r="B35" s="27">
        <f>1.2-C35</f>
        <v>1</v>
      </c>
      <c r="C35" s="27">
        <v>0.2</v>
      </c>
      <c r="D35" s="27">
        <f>15.6-E35-F35-G35</f>
        <v>17.699999999999996</v>
      </c>
      <c r="E35" s="27">
        <f>-2.1-F35-G35</f>
        <v>-23</v>
      </c>
      <c r="F35" s="27">
        <f>-4--9.3</f>
        <v>5.3000000000000007</v>
      </c>
      <c r="G35" s="27">
        <v>15.6</v>
      </c>
      <c r="H35" s="27">
        <f>11.1-I35-J35-K35</f>
        <v>12.799999999999999</v>
      </c>
      <c r="I35" s="27">
        <f>-1.7-J35-K35</f>
        <v>5.2</v>
      </c>
      <c r="J35" s="27">
        <f>-6.9-K35</f>
        <v>-5.2</v>
      </c>
      <c r="K35" s="27">
        <v>-1.7</v>
      </c>
      <c r="L35" s="27">
        <f>7.782-M35-N35-O35</f>
        <v>8.0820000000000007</v>
      </c>
      <c r="M35" s="27">
        <f>-0.3-N35-O35</f>
        <v>1.2</v>
      </c>
      <c r="N35" s="27">
        <f>-1.5-O35</f>
        <v>-1.2</v>
      </c>
      <c r="O35" s="27">
        <v>-0.3</v>
      </c>
    </row>
    <row r="36" spans="1:22" s="33" customFormat="1">
      <c r="A36" s="20" t="s">
        <v>68</v>
      </c>
      <c r="B36" s="29">
        <f>-2.6-C36</f>
        <v>-1.1000000000000001</v>
      </c>
      <c r="C36" s="29">
        <v>-1.5</v>
      </c>
      <c r="D36" s="29">
        <f>-11.5-E36-F36-G36</f>
        <v>-5.5</v>
      </c>
      <c r="E36" s="29">
        <f>-6-F36-G36</f>
        <v>7</v>
      </c>
      <c r="F36" s="29">
        <f>-3.8--2.3</f>
        <v>-1.5</v>
      </c>
      <c r="G36" s="29">
        <v>-11.5</v>
      </c>
      <c r="H36" s="29">
        <f>-19.6-I36-J36-K36</f>
        <v>-14.600000000000001</v>
      </c>
      <c r="I36" s="29">
        <f>-5-J36-K36</f>
        <v>4</v>
      </c>
      <c r="J36" s="29">
        <f>-9-K36</f>
        <v>-4</v>
      </c>
      <c r="K36" s="29">
        <v>-5</v>
      </c>
      <c r="L36" s="29">
        <f>-23.605-M36-N36-O36</f>
        <v>-6.6050000000000013</v>
      </c>
      <c r="M36" s="29">
        <f>-17-N36-O36</f>
        <v>-7.8999999999999995</v>
      </c>
      <c r="N36" s="29">
        <f>-9.1-O36</f>
        <v>-4.3</v>
      </c>
      <c r="O36" s="29">
        <v>-4.8</v>
      </c>
      <c r="P36" s="29"/>
      <c r="Q36" s="29"/>
      <c r="R36" s="29"/>
      <c r="S36" s="29"/>
    </row>
    <row r="37" spans="1:22" s="27" customFormat="1">
      <c r="A37" s="27" t="s">
        <v>69</v>
      </c>
      <c r="B37" s="27">
        <f>SUM(B35:B36)</f>
        <v>-0.10000000000000009</v>
      </c>
      <c r="C37" s="27">
        <f>SUM(C35:C36)</f>
        <v>-1.3</v>
      </c>
      <c r="D37" s="27">
        <f t="shared" ref="D37:O37" si="24">D35+D36</f>
        <v>12.199999999999996</v>
      </c>
      <c r="E37" s="27">
        <f t="shared" si="24"/>
        <v>-16</v>
      </c>
      <c r="F37" s="27">
        <f t="shared" si="24"/>
        <v>3.8000000000000007</v>
      </c>
      <c r="G37" s="27">
        <f t="shared" si="24"/>
        <v>4.0999999999999996</v>
      </c>
      <c r="H37" s="27">
        <f t="shared" si="24"/>
        <v>-1.8000000000000025</v>
      </c>
      <c r="I37" s="27">
        <f t="shared" si="24"/>
        <v>9.1999999999999993</v>
      </c>
      <c r="J37" s="27">
        <f t="shared" si="24"/>
        <v>-9.1999999999999993</v>
      </c>
      <c r="K37" s="27">
        <f t="shared" si="24"/>
        <v>-6.7</v>
      </c>
      <c r="L37" s="27">
        <f t="shared" si="24"/>
        <v>1.4769999999999994</v>
      </c>
      <c r="M37" s="27">
        <f t="shared" si="24"/>
        <v>-6.6999999999999993</v>
      </c>
      <c r="N37" s="27">
        <f t="shared" si="24"/>
        <v>-5.5</v>
      </c>
      <c r="O37" s="27">
        <f t="shared" si="24"/>
        <v>-5.0999999999999996</v>
      </c>
    </row>
    <row r="38" spans="1:22">
      <c r="U38" s="27"/>
      <c r="V38" s="17"/>
    </row>
    <row r="39" spans="1:22" s="35" customFormat="1">
      <c r="A39" s="34" t="s">
        <v>70</v>
      </c>
      <c r="B39" s="20">
        <v>45.5</v>
      </c>
      <c r="C39" s="20">
        <v>45.5</v>
      </c>
      <c r="D39" s="20">
        <v>45.5</v>
      </c>
      <c r="E39" s="20">
        <v>45.5</v>
      </c>
      <c r="F39" s="20">
        <v>45.5</v>
      </c>
      <c r="G39" s="20">
        <v>45.5</v>
      </c>
      <c r="H39" s="20">
        <f>L39-1.4</f>
        <v>17.3</v>
      </c>
      <c r="I39" s="20">
        <v>12.3</v>
      </c>
      <c r="J39" s="20">
        <f>L39-3.3</f>
        <v>15.399999999999999</v>
      </c>
      <c r="K39" s="20">
        <f>L39+15.8</f>
        <v>34.5</v>
      </c>
      <c r="L39" s="20">
        <v>18.7</v>
      </c>
      <c r="M39" s="20">
        <v>0</v>
      </c>
      <c r="N39" s="20">
        <v>0</v>
      </c>
      <c r="O39" s="20">
        <v>0</v>
      </c>
      <c r="P39" s="20"/>
      <c r="Q39" s="20">
        <v>0</v>
      </c>
      <c r="R39" s="20"/>
      <c r="S39" s="20"/>
      <c r="U39" s="33"/>
      <c r="V39" s="27"/>
    </row>
    <row r="40" spans="1:22" s="35" customFormat="1">
      <c r="A40" s="34" t="s">
        <v>71</v>
      </c>
      <c r="B40" s="20">
        <f>246.1+33.5+18</f>
        <v>297.60000000000002</v>
      </c>
      <c r="C40" s="20">
        <f>246.7+33.5+18.7</f>
        <v>298.89999999999998</v>
      </c>
      <c r="D40" s="20">
        <f>247.4+33.5+18.8</f>
        <v>299.7</v>
      </c>
      <c r="E40" s="20">
        <f>248+22.4</f>
        <v>270.39999999999998</v>
      </c>
      <c r="F40" s="20">
        <f>248.6+21.8</f>
        <v>270.39999999999998</v>
      </c>
      <c r="G40" s="20">
        <f>249.3+22.7</f>
        <v>272</v>
      </c>
      <c r="H40" s="20">
        <f>387.5-100-H39</f>
        <v>270.2</v>
      </c>
      <c r="I40" s="20">
        <f>288.555-I39</f>
        <v>276.255</v>
      </c>
      <c r="J40" s="20">
        <f>J41-100-J39</f>
        <v>271.06400000000002</v>
      </c>
      <c r="K40" s="20">
        <f>L40-0.6-1.2</f>
        <v>260.82299999999998</v>
      </c>
      <c r="L40" s="20">
        <f>252.45+2.3+7.873</f>
        <v>262.62299999999999</v>
      </c>
      <c r="M40" s="20">
        <f>352.333-75</f>
        <v>277.33300000000003</v>
      </c>
      <c r="N40" s="20">
        <f>347.359-75</f>
        <v>272.35899999999998</v>
      </c>
      <c r="O40" s="20">
        <f>342.963</f>
        <v>342.96300000000002</v>
      </c>
      <c r="P40" s="20"/>
      <c r="Q40" s="20">
        <f>255+14</f>
        <v>269</v>
      </c>
      <c r="R40" s="20"/>
      <c r="S40" s="20"/>
      <c r="U40" s="33"/>
      <c r="V40" s="33"/>
    </row>
    <row r="41" spans="1:22" s="35" customFormat="1">
      <c r="A41" s="34" t="s">
        <v>72</v>
      </c>
      <c r="B41" s="20">
        <f t="shared" ref="B41:I41" si="25">B39+B40+100</f>
        <v>443.1</v>
      </c>
      <c r="C41" s="20">
        <f t="shared" si="25"/>
        <v>444.4</v>
      </c>
      <c r="D41" s="20">
        <f t="shared" si="25"/>
        <v>445.2</v>
      </c>
      <c r="E41" s="20">
        <f t="shared" si="25"/>
        <v>415.9</v>
      </c>
      <c r="F41" s="20">
        <f t="shared" si="25"/>
        <v>415.9</v>
      </c>
      <c r="G41" s="20">
        <f t="shared" si="25"/>
        <v>417.5</v>
      </c>
      <c r="H41" s="20">
        <f t="shared" si="25"/>
        <v>387.5</v>
      </c>
      <c r="I41" s="20">
        <f t="shared" si="25"/>
        <v>388.55500000000001</v>
      </c>
      <c r="J41" s="20">
        <v>386.464</v>
      </c>
      <c r="K41" s="20">
        <f>K39+K40+75</f>
        <v>370.32299999999998</v>
      </c>
      <c r="L41" s="20">
        <f>L39+L40+75</f>
        <v>356.32299999999998</v>
      </c>
      <c r="M41" s="20">
        <f>M39+M40+75</f>
        <v>352.33300000000003</v>
      </c>
      <c r="N41" s="20">
        <f>N39+N40+75</f>
        <v>347.35899999999998</v>
      </c>
      <c r="O41" s="20">
        <f>O39+O40</f>
        <v>342.96300000000002</v>
      </c>
      <c r="P41" s="20"/>
      <c r="Q41" s="20">
        <f>Q39+Q40+75</f>
        <v>344</v>
      </c>
      <c r="R41" s="20"/>
      <c r="S41" s="20"/>
      <c r="U41" s="27"/>
      <c r="V41" s="33"/>
    </row>
    <row r="42" spans="1:22" s="35" customFormat="1">
      <c r="A42" s="34" t="s">
        <v>73</v>
      </c>
      <c r="B42" s="36">
        <v>240</v>
      </c>
      <c r="C42" s="36">
        <v>240</v>
      </c>
      <c r="D42" s="36">
        <v>240</v>
      </c>
      <c r="E42" s="36">
        <v>240</v>
      </c>
      <c r="F42" s="36">
        <v>240</v>
      </c>
      <c r="G42" s="36">
        <v>240</v>
      </c>
      <c r="H42" s="36">
        <v>240</v>
      </c>
      <c r="I42" s="36">
        <v>240</v>
      </c>
      <c r="J42" s="36">
        <v>240</v>
      </c>
      <c r="K42" s="36">
        <v>240</v>
      </c>
      <c r="L42" s="36">
        <v>240</v>
      </c>
      <c r="M42" s="36">
        <v>240</v>
      </c>
      <c r="N42" s="36">
        <v>240</v>
      </c>
      <c r="O42" s="36">
        <v>240</v>
      </c>
      <c r="P42" s="36"/>
      <c r="Q42" s="36">
        <v>240</v>
      </c>
      <c r="R42" s="36"/>
      <c r="S42" s="36"/>
    </row>
    <row r="43" spans="1:22">
      <c r="B43" s="35"/>
      <c r="C43" s="35"/>
      <c r="D43" s="35"/>
      <c r="E43" s="35"/>
      <c r="F43" s="35"/>
      <c r="G43" s="35"/>
      <c r="H43" s="35"/>
      <c r="I43" s="35"/>
      <c r="J43" s="35"/>
      <c r="K43" s="35"/>
      <c r="L43" s="35"/>
      <c r="M43" s="35"/>
      <c r="N43" s="35"/>
      <c r="O43" s="35"/>
      <c r="P43" s="35"/>
      <c r="Q43" s="35"/>
      <c r="R43" s="35"/>
      <c r="S43" s="35"/>
    </row>
    <row r="44" spans="1:22">
      <c r="A44" s="19" t="s">
        <v>74</v>
      </c>
      <c r="B44" s="28">
        <v>39.034999999999997</v>
      </c>
      <c r="C44" s="28">
        <v>48.2</v>
      </c>
      <c r="D44" s="28">
        <v>51.1</v>
      </c>
      <c r="E44" s="28">
        <v>7.907</v>
      </c>
      <c r="F44" s="28">
        <v>8.35</v>
      </c>
      <c r="G44" s="28">
        <v>17.181000000000001</v>
      </c>
      <c r="H44" s="28">
        <v>2.1</v>
      </c>
      <c r="I44" s="28">
        <v>-5.0999999999999996</v>
      </c>
      <c r="J44" s="28">
        <v>1.3120000000000001</v>
      </c>
      <c r="K44" s="28">
        <v>0.8</v>
      </c>
      <c r="L44" s="28">
        <v>3.8079999999999998</v>
      </c>
      <c r="M44" s="28">
        <v>1.9219999999999999</v>
      </c>
      <c r="N44" s="28">
        <v>3.7069999999999999</v>
      </c>
      <c r="O44" s="28">
        <v>4.62</v>
      </c>
      <c r="P44" s="28">
        <v>1.5629999999999999</v>
      </c>
      <c r="Q44" s="28">
        <v>15</v>
      </c>
      <c r="R44" s="28"/>
      <c r="S44" s="28"/>
    </row>
    <row r="46" spans="1:22">
      <c r="A46" s="14" t="s">
        <v>75</v>
      </c>
      <c r="B46" s="58">
        <f t="shared" ref="B46:P46" si="26">SUM(B12:E12)</f>
        <v>250.7</v>
      </c>
      <c r="C46" s="58">
        <f t="shared" si="26"/>
        <v>240</v>
      </c>
      <c r="D46" s="58">
        <f t="shared" si="26"/>
        <v>255.3</v>
      </c>
      <c r="E46" s="58">
        <f t="shared" si="26"/>
        <v>274</v>
      </c>
      <c r="F46" s="58">
        <f t="shared" si="26"/>
        <v>288.8</v>
      </c>
      <c r="G46" s="58">
        <f t="shared" si="26"/>
        <v>307.7</v>
      </c>
      <c r="H46" s="58">
        <f t="shared" si="26"/>
        <v>304.5</v>
      </c>
      <c r="I46" s="58">
        <f t="shared" si="26"/>
        <v>286.2</v>
      </c>
      <c r="J46" s="58">
        <f t="shared" si="26"/>
        <v>280.2</v>
      </c>
      <c r="K46" s="58">
        <f t="shared" si="26"/>
        <v>278</v>
      </c>
      <c r="L46" s="58">
        <f t="shared" si="26"/>
        <v>274.5</v>
      </c>
      <c r="M46" s="58">
        <f t="shared" si="26"/>
        <v>282.39999999999998</v>
      </c>
      <c r="N46" s="58">
        <f t="shared" si="26"/>
        <v>278.5</v>
      </c>
      <c r="O46" s="58">
        <f t="shared" si="26"/>
        <v>270.2</v>
      </c>
      <c r="P46" s="58">
        <f t="shared" si="26"/>
        <v>262.7</v>
      </c>
      <c r="Q46" s="51">
        <v>261.39999999999998</v>
      </c>
      <c r="R46" s="33"/>
      <c r="S46" s="33"/>
    </row>
    <row r="47" spans="1:22">
      <c r="A47" s="14" t="s">
        <v>76</v>
      </c>
      <c r="B47" s="58">
        <f t="shared" ref="B47" si="27">B27</f>
        <v>42.500999999999998</v>
      </c>
      <c r="C47" s="58">
        <f t="shared" ref="C47:D47" si="28">C27</f>
        <v>43.131</v>
      </c>
      <c r="D47" s="58">
        <f t="shared" si="28"/>
        <v>48.5</v>
      </c>
      <c r="E47" s="58">
        <f t="shared" ref="E47:F47" si="29">E27</f>
        <v>59.889000000000003</v>
      </c>
      <c r="F47" s="58">
        <f t="shared" si="29"/>
        <v>65.102999999999994</v>
      </c>
      <c r="G47" s="58">
        <f t="shared" ref="G47:H47" si="30">G27</f>
        <v>56.552</v>
      </c>
      <c r="H47" s="58">
        <f t="shared" si="30"/>
        <v>58.247</v>
      </c>
      <c r="I47" s="58">
        <f t="shared" ref="I47:J47" si="31">I27</f>
        <v>55.941000000000003</v>
      </c>
      <c r="J47" s="58">
        <f t="shared" si="31"/>
        <v>57.843000000000004</v>
      </c>
      <c r="K47" s="58">
        <f t="shared" ref="K47:P47" si="32">K27</f>
        <v>57.177</v>
      </c>
      <c r="L47" s="58">
        <f t="shared" si="32"/>
        <v>56.2</v>
      </c>
      <c r="M47" s="58">
        <f t="shared" si="32"/>
        <v>59.599999999999994</v>
      </c>
      <c r="N47" s="58">
        <f t="shared" si="32"/>
        <v>60.099999999999994</v>
      </c>
      <c r="O47" s="58">
        <f t="shared" si="32"/>
        <v>61.2</v>
      </c>
      <c r="P47" s="58">
        <f t="shared" si="32"/>
        <v>61.899999999999991</v>
      </c>
      <c r="Q47" s="51">
        <v>60.8</v>
      </c>
      <c r="R47" s="33"/>
      <c r="S47" s="33"/>
    </row>
    <row r="48" spans="1:22">
      <c r="A48" s="14" t="s">
        <v>77</v>
      </c>
      <c r="B48" s="58">
        <f t="shared" ref="B48:L48" si="33">SUM(B37:E37)</f>
        <v>-5.2000000000000046</v>
      </c>
      <c r="C48" s="58">
        <f t="shared" si="33"/>
        <v>-1.3000000000000043</v>
      </c>
      <c r="D48" s="58">
        <f t="shared" si="33"/>
        <v>4.0999999999999961</v>
      </c>
      <c r="E48" s="58">
        <f t="shared" si="33"/>
        <v>-9.9000000000000021</v>
      </c>
      <c r="F48" s="58">
        <f t="shared" si="33"/>
        <v>15.299999999999997</v>
      </c>
      <c r="G48" s="58">
        <f t="shared" si="33"/>
        <v>2.2999999999999972</v>
      </c>
      <c r="H48" s="58">
        <f t="shared" si="33"/>
        <v>-8.5000000000000036</v>
      </c>
      <c r="I48" s="58">
        <f t="shared" si="33"/>
        <v>-5.2230000000000008</v>
      </c>
      <c r="J48" s="58">
        <f t="shared" si="33"/>
        <v>-21.122999999999998</v>
      </c>
      <c r="K48" s="58">
        <f t="shared" si="33"/>
        <v>-17.423000000000002</v>
      </c>
      <c r="L48" s="58">
        <f t="shared" si="33"/>
        <v>-15.822999999999999</v>
      </c>
      <c r="M48" s="112"/>
      <c r="N48" s="51"/>
      <c r="O48" s="51"/>
      <c r="P48" s="51">
        <f>-12.44-19.393-13.3</f>
        <v>-45.132999999999996</v>
      </c>
      <c r="Q48" s="51">
        <v>17.5</v>
      </c>
      <c r="R48" s="33"/>
      <c r="S48" s="33"/>
    </row>
    <row r="49" spans="1:19">
      <c r="B49" s="112"/>
      <c r="C49" s="112"/>
      <c r="D49" s="112"/>
      <c r="E49" s="112"/>
      <c r="F49" s="112"/>
      <c r="G49" s="112"/>
      <c r="H49" s="112"/>
      <c r="I49" s="112"/>
      <c r="J49" s="112"/>
      <c r="K49" s="112"/>
      <c r="L49" s="112"/>
      <c r="M49" s="112"/>
    </row>
    <row r="50" spans="1:19" s="37" customFormat="1">
      <c r="A50" s="37" t="s">
        <v>78</v>
      </c>
      <c r="B50" s="37">
        <f t="shared" ref="B50:C50" si="34">+SUM(B39:B40)/B47</f>
        <v>8.0727512293828383</v>
      </c>
      <c r="C50" s="37">
        <f t="shared" si="34"/>
        <v>7.984976003338665</v>
      </c>
      <c r="D50" s="37">
        <f t="shared" ref="D50:E50" si="35">+SUM(D39:D40)/D47</f>
        <v>7.1175257731958759</v>
      </c>
      <c r="E50" s="37">
        <f t="shared" si="35"/>
        <v>5.2747583028602909</v>
      </c>
      <c r="F50" s="37">
        <f t="shared" ref="F50:G50" si="36">+SUM(F39:F40)/F47</f>
        <v>4.8523109534122852</v>
      </c>
      <c r="G50" s="37">
        <f t="shared" si="36"/>
        <v>5.6143018814542369</v>
      </c>
      <c r="H50" s="37">
        <f t="shared" ref="H50:I50" si="37">+SUM(H39:H40)/H47</f>
        <v>4.9358765258296566</v>
      </c>
      <c r="I50" s="37">
        <f t="shared" si="37"/>
        <v>5.1582023918056521</v>
      </c>
      <c r="J50" s="37">
        <f t="shared" ref="J50:O50" si="38">+SUM(J39:J40)/J47</f>
        <v>4.9524402261293501</v>
      </c>
      <c r="K50" s="37">
        <f t="shared" si="38"/>
        <v>5.1650663728422268</v>
      </c>
      <c r="L50" s="37">
        <f t="shared" si="38"/>
        <v>5.0057473309608538</v>
      </c>
      <c r="M50" s="37">
        <f t="shared" si="38"/>
        <v>4.6532382550335578</v>
      </c>
      <c r="N50" s="37">
        <f t="shared" si="38"/>
        <v>4.5317637271214641</v>
      </c>
      <c r="O50" s="37">
        <f t="shared" si="38"/>
        <v>5.6039705882352946</v>
      </c>
      <c r="Q50" s="37">
        <f>+SUM(Q39:Q40)/Q47</f>
        <v>4.4243421052631584</v>
      </c>
    </row>
    <row r="51" spans="1:19" s="37" customFormat="1">
      <c r="A51" s="37" t="s">
        <v>79</v>
      </c>
      <c r="B51" s="37">
        <f t="shared" ref="B51:C51" si="39">+B41/B47</f>
        <v>10.425637043834264</v>
      </c>
      <c r="C51" s="37">
        <f t="shared" si="39"/>
        <v>10.303494006630961</v>
      </c>
      <c r="D51" s="37">
        <f t="shared" ref="D51:E51" si="40">+D41/D47</f>
        <v>9.1793814432989684</v>
      </c>
      <c r="E51" s="37">
        <f t="shared" si="40"/>
        <v>6.9445140175992242</v>
      </c>
      <c r="F51" s="37">
        <f t="shared" ref="F51:G51" si="41">+F41/F47</f>
        <v>6.3883384790255446</v>
      </c>
      <c r="G51" s="37">
        <f t="shared" si="41"/>
        <v>7.3825859386051773</v>
      </c>
      <c r="H51" s="37">
        <f t="shared" ref="H51:I51" si="42">+H41/H47</f>
        <v>6.6527031435095374</v>
      </c>
      <c r="I51" s="37">
        <f t="shared" si="42"/>
        <v>6.945800039327148</v>
      </c>
      <c r="J51" s="37">
        <f t="shared" ref="J51:O51" si="43">+J41/J47</f>
        <v>6.681257887730581</v>
      </c>
      <c r="K51" s="37">
        <f t="shared" si="43"/>
        <v>6.4767826223831255</v>
      </c>
      <c r="L51" s="37">
        <f t="shared" si="43"/>
        <v>6.34026690391459</v>
      </c>
      <c r="M51" s="37">
        <f t="shared" si="43"/>
        <v>5.9116275167785242</v>
      </c>
      <c r="N51" s="37">
        <f t="shared" si="43"/>
        <v>5.7796838602329457</v>
      </c>
      <c r="O51" s="37">
        <f t="shared" si="43"/>
        <v>5.6039705882352946</v>
      </c>
      <c r="Q51" s="37">
        <f>+Q41/Q47</f>
        <v>5.6578947368421053</v>
      </c>
    </row>
    <row r="52" spans="1:19" s="37" customFormat="1">
      <c r="A52" s="37" t="s">
        <v>80</v>
      </c>
      <c r="B52" s="37">
        <f t="shared" ref="B52:C52" si="44">+(B41-B44)/B47</f>
        <v>9.5071880661631507</v>
      </c>
      <c r="C52" s="37">
        <f t="shared" si="44"/>
        <v>9.1859683290440746</v>
      </c>
      <c r="D52" s="37">
        <f t="shared" ref="D52:E52" si="45">+(D41-D44)/D47</f>
        <v>8.1257731958762882</v>
      </c>
      <c r="E52" s="37">
        <f t="shared" si="45"/>
        <v>6.8124864332348176</v>
      </c>
      <c r="F52" s="37">
        <f t="shared" ref="F52:G52" si="46">+(F41-F44)/F47</f>
        <v>6.2600801806368365</v>
      </c>
      <c r="G52" s="37">
        <f t="shared" si="46"/>
        <v>7.0787770547460749</v>
      </c>
      <c r="H52" s="37">
        <f t="shared" ref="H52:I52" si="47">+(H41-H44)/H47</f>
        <v>6.616649784538259</v>
      </c>
      <c r="I52" s="37">
        <f t="shared" si="47"/>
        <v>7.0369675193507444</v>
      </c>
      <c r="J52" s="37">
        <f t="shared" ref="J52:O52" si="48">+(J41-J44)/J47</f>
        <v>6.6585758000103725</v>
      </c>
      <c r="K52" s="37">
        <f t="shared" si="48"/>
        <v>6.4627909823880225</v>
      </c>
      <c r="L52" s="37">
        <f t="shared" si="48"/>
        <v>6.2725088967971523</v>
      </c>
      <c r="M52" s="37">
        <f t="shared" si="48"/>
        <v>5.8793791946308733</v>
      </c>
      <c r="N52" s="37">
        <f t="shared" si="48"/>
        <v>5.7180033277870219</v>
      </c>
      <c r="O52" s="37">
        <f t="shared" si="48"/>
        <v>5.5284803921568626</v>
      </c>
      <c r="Q52" s="37">
        <f>+(Q41-Q44)/Q47</f>
        <v>5.4111842105263159</v>
      </c>
    </row>
    <row r="53" spans="1:19" s="38" customFormat="1">
      <c r="A53" s="38" t="s">
        <v>81</v>
      </c>
      <c r="B53" s="38">
        <f t="shared" ref="B53:C53" si="49">+B48/B41</f>
        <v>-1.1735499887158664E-2</v>
      </c>
      <c r="C53" s="38">
        <f t="shared" si="49"/>
        <v>-2.9252925292529352E-3</v>
      </c>
      <c r="D53" s="38">
        <f t="shared" ref="D53:E53" si="50">+D48/D41</f>
        <v>9.2093441150044846E-3</v>
      </c>
      <c r="E53" s="38">
        <f t="shared" si="50"/>
        <v>-2.3803798990141869E-2</v>
      </c>
      <c r="F53" s="38">
        <f t="shared" ref="F53:G53" si="51">+F48/F41</f>
        <v>3.6787689348401056E-2</v>
      </c>
      <c r="G53" s="38">
        <f t="shared" si="51"/>
        <v>5.5089820359281371E-3</v>
      </c>
      <c r="H53" s="38">
        <f t="shared" ref="H53:I53" si="52">+H48/H41</f>
        <v>-2.1935483870967751E-2</v>
      </c>
      <c r="I53" s="38">
        <f t="shared" si="52"/>
        <v>-1.3442112442253995E-2</v>
      </c>
      <c r="J53" s="38">
        <f t="shared" ref="J53:O53" si="53">+J48/J41</f>
        <v>-5.4657096133145643E-2</v>
      </c>
      <c r="K53" s="38">
        <f t="shared" si="53"/>
        <v>-4.7048117454222403E-2</v>
      </c>
      <c r="L53" s="38">
        <f t="shared" si="53"/>
        <v>-4.4406339192249726E-2</v>
      </c>
      <c r="M53" s="38">
        <f t="shared" si="53"/>
        <v>0</v>
      </c>
      <c r="N53" s="38">
        <f t="shared" si="53"/>
        <v>0</v>
      </c>
      <c r="O53" s="38">
        <f t="shared" si="53"/>
        <v>0</v>
      </c>
      <c r="Q53" s="38">
        <f>+Q48/Q41</f>
        <v>5.0872093023255814E-2</v>
      </c>
    </row>
    <row r="54" spans="1:19" s="38" customFormat="1">
      <c r="A54" s="39" t="s">
        <v>82</v>
      </c>
      <c r="B54" s="40"/>
      <c r="C54" s="40"/>
      <c r="D54" s="40"/>
      <c r="E54" s="40"/>
      <c r="F54" s="40"/>
      <c r="G54" s="40"/>
      <c r="H54" s="40"/>
      <c r="I54" s="40"/>
      <c r="J54" s="40"/>
      <c r="K54" s="40"/>
      <c r="L54" s="40"/>
      <c r="M54" s="40"/>
      <c r="N54" s="40"/>
      <c r="O54" s="40"/>
      <c r="P54" s="40"/>
      <c r="Q54" s="40"/>
      <c r="R54" s="40"/>
      <c r="S54" s="40"/>
    </row>
    <row r="55" spans="1:19" s="38" customFormat="1">
      <c r="A55" s="38" t="s">
        <v>83</v>
      </c>
      <c r="B55" s="41">
        <f t="shared" ref="B55:C55" si="54">IF(B42=0,IF(B54="","","*"&amp;TEXT(B54,"0.0x")),(B41+B42-B44)/B47)</f>
        <v>15.154114020846571</v>
      </c>
      <c r="C55" s="41">
        <f t="shared" si="54"/>
        <v>14.750411536945583</v>
      </c>
      <c r="D55" s="41">
        <f t="shared" ref="D55:E55" si="55">IF(D42=0,IF(D54="","","*"&amp;TEXT(D54,"0.0x")),(D41+D42-D44)/D47)</f>
        <v>13.074226804123711</v>
      </c>
      <c r="E55" s="41">
        <f t="shared" si="55"/>
        <v>10.819900148608257</v>
      </c>
      <c r="F55" s="41">
        <f t="shared" ref="F55:G55" si="56">IF(F42=0,IF(F54="","","*"&amp;TEXT(F54,"0.0x")),(F41+F42-F44)/F47)</f>
        <v>9.9465462421086581</v>
      </c>
      <c r="G55" s="41">
        <f t="shared" si="56"/>
        <v>11.322658791908331</v>
      </c>
      <c r="H55" s="41">
        <f t="shared" ref="H55:I55" si="57">IF(H42=0,IF(H54="","","*"&amp;TEXT(H54,"0.0x")),(H41+H42-H44)/H47)</f>
        <v>10.737033666969973</v>
      </c>
      <c r="I55" s="41">
        <f t="shared" si="57"/>
        <v>11.327201873402336</v>
      </c>
      <c r="J55" s="41">
        <f t="shared" ref="J55:O55" si="58">IF(J42=0,IF(J54="","","*"&amp;TEXT(J54,"0.0x")),(J41+J42-J44)/J47)</f>
        <v>10.807738187853325</v>
      </c>
      <c r="K55" s="41">
        <f t="shared" si="58"/>
        <v>10.660282980918902</v>
      </c>
      <c r="L55" s="41">
        <f t="shared" si="58"/>
        <v>10.54297153024911</v>
      </c>
      <c r="M55" s="41">
        <f t="shared" si="58"/>
        <v>9.9062248322147664</v>
      </c>
      <c r="N55" s="41">
        <f t="shared" si="58"/>
        <v>9.7113477537437607</v>
      </c>
      <c r="O55" s="41">
        <f t="shared" si="58"/>
        <v>9.4500490196078424</v>
      </c>
      <c r="P55" s="41"/>
      <c r="Q55" s="41">
        <f>IF(Q42=0,IF(Q54="","","*"&amp;TEXT(Q54,"0.0x")),(Q41+Q42-Q44)/Q47)</f>
        <v>9.3585526315789487</v>
      </c>
      <c r="R55" s="41"/>
      <c r="S55" s="41"/>
    </row>
    <row r="57" spans="1:19" ht="80.25" customHeight="1">
      <c r="A57" s="43" t="s">
        <v>84</v>
      </c>
      <c r="B57" s="44" t="s">
        <v>441</v>
      </c>
      <c r="C57" s="44" t="s">
        <v>441</v>
      </c>
      <c r="D57" s="44" t="s">
        <v>441</v>
      </c>
      <c r="E57" s="44" t="s">
        <v>441</v>
      </c>
      <c r="F57" s="44" t="s">
        <v>441</v>
      </c>
      <c r="G57" s="44" t="s">
        <v>441</v>
      </c>
      <c r="H57" s="44" t="s">
        <v>441</v>
      </c>
      <c r="I57" s="44" t="s">
        <v>441</v>
      </c>
      <c r="J57" s="44"/>
      <c r="K57" s="44" t="s">
        <v>441</v>
      </c>
      <c r="L57" s="44" t="s">
        <v>299</v>
      </c>
      <c r="M57" s="44" t="s">
        <v>299</v>
      </c>
      <c r="N57" s="44" t="s">
        <v>299</v>
      </c>
      <c r="O57" s="44" t="s">
        <v>299</v>
      </c>
      <c r="P57" s="44"/>
      <c r="Q57" s="44" t="s">
        <v>90</v>
      </c>
      <c r="R57" s="44"/>
      <c r="S57" s="44"/>
    </row>
    <row r="58" spans="1:19">
      <c r="A58" s="45"/>
      <c r="B58" s="42"/>
      <c r="C58" s="42"/>
      <c r="D58" s="42"/>
      <c r="E58" s="42"/>
      <c r="F58" s="42"/>
      <c r="G58" s="42"/>
      <c r="H58" s="42"/>
      <c r="I58" s="42"/>
      <c r="J58" s="42"/>
      <c r="K58" s="42"/>
      <c r="L58" s="42"/>
      <c r="M58" s="42"/>
      <c r="N58" s="42"/>
      <c r="O58" s="42"/>
      <c r="P58" s="42"/>
      <c r="Q58" s="42"/>
    </row>
    <row r="59" spans="1:19">
      <c r="A59" s="45"/>
    </row>
  </sheetData>
  <pageMargins left="0.7" right="0.7" top="0.75" bottom="0.75" header="0.3" footer="0.3"/>
  <pageSetup orientation="portrait" r:id="rId1"/>
  <ignoredErrors>
    <ignoredError sqref="H46:L49 G46:G49 C46:F55" formulaRange="1"/>
  </ignoredErrors>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2:Q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D28" sqref="D28"/>
    </sheetView>
  </sheetViews>
  <sheetFormatPr defaultColWidth="9.109375" defaultRowHeight="13.8"/>
  <cols>
    <col min="1" max="1" width="22.6640625" style="14" customWidth="1"/>
    <col min="2" max="14" width="10.6640625" style="14" customWidth="1"/>
    <col min="15" max="16384" width="9.109375" style="14"/>
  </cols>
  <sheetData>
    <row r="2" spans="1:17">
      <c r="A2" s="13" t="s">
        <v>44</v>
      </c>
      <c r="B2" s="14" t="s">
        <v>230</v>
      </c>
    </row>
    <row r="3" spans="1:17" s="16" customFormat="1">
      <c r="A3" s="15" t="s">
        <v>45</v>
      </c>
      <c r="B3" s="16" t="s">
        <v>233</v>
      </c>
    </row>
    <row r="4" spans="1:17">
      <c r="A4" s="13" t="s">
        <v>2</v>
      </c>
      <c r="B4" s="14" t="s">
        <v>4</v>
      </c>
    </row>
    <row r="5" spans="1:17">
      <c r="A5" s="13" t="s">
        <v>46</v>
      </c>
    </row>
    <row r="6" spans="1:17">
      <c r="A6" s="13" t="s">
        <v>47</v>
      </c>
      <c r="B6" s="14">
        <v>2</v>
      </c>
    </row>
    <row r="7" spans="1:17">
      <c r="A7" s="13" t="s">
        <v>48</v>
      </c>
      <c r="B7" s="14" t="e">
        <v>#N/A</v>
      </c>
    </row>
    <row r="8" spans="1:17">
      <c r="A8" s="13" t="s">
        <v>347</v>
      </c>
      <c r="B8" s="14" t="s">
        <v>373</v>
      </c>
    </row>
    <row r="9" spans="1:17">
      <c r="A9" s="17"/>
    </row>
    <row r="10" spans="1:17">
      <c r="A10" s="17" t="s">
        <v>49</v>
      </c>
      <c r="B10" s="18">
        <v>43555</v>
      </c>
      <c r="C10" s="18">
        <v>43465</v>
      </c>
      <c r="D10" s="18">
        <v>43373</v>
      </c>
      <c r="E10" s="18">
        <v>43281</v>
      </c>
      <c r="F10" s="18">
        <v>43190</v>
      </c>
      <c r="G10" s="18">
        <v>43100</v>
      </c>
      <c r="H10" s="18">
        <f>EOMONTH(G10,-3)</f>
        <v>43008</v>
      </c>
      <c r="I10" s="18">
        <f t="shared" ref="I10:N10" si="0">EOMONTH(H10,-3)</f>
        <v>42916</v>
      </c>
      <c r="J10" s="18">
        <f t="shared" si="0"/>
        <v>42825</v>
      </c>
      <c r="K10" s="18">
        <f t="shared" si="0"/>
        <v>42735</v>
      </c>
      <c r="L10" s="18">
        <f t="shared" si="0"/>
        <v>42643</v>
      </c>
      <c r="M10" s="18">
        <f t="shared" si="0"/>
        <v>42551</v>
      </c>
      <c r="N10" s="18">
        <f t="shared" si="0"/>
        <v>42460</v>
      </c>
    </row>
    <row r="12" spans="1:17">
      <c r="A12" s="19" t="s">
        <v>50</v>
      </c>
      <c r="B12" s="20">
        <f>2165</f>
        <v>2165</v>
      </c>
      <c r="C12" s="20">
        <f>9478-7795</f>
        <v>1683</v>
      </c>
      <c r="D12" s="20">
        <v>3061</v>
      </c>
      <c r="E12" s="20">
        <v>2922</v>
      </c>
      <c r="F12" s="20">
        <v>2065</v>
      </c>
      <c r="G12" s="20">
        <f>9074-7246</f>
        <v>1828</v>
      </c>
      <c r="H12" s="20">
        <v>2740</v>
      </c>
      <c r="I12" s="20">
        <v>2701</v>
      </c>
      <c r="J12" s="20">
        <v>2382</v>
      </c>
      <c r="K12" s="20">
        <f>10512-L12-M12-N12</f>
        <v>1614</v>
      </c>
      <c r="L12" s="20">
        <v>3421</v>
      </c>
      <c r="M12" s="20">
        <v>2248</v>
      </c>
      <c r="N12" s="20">
        <v>3229</v>
      </c>
      <c r="P12" s="127"/>
      <c r="Q12" s="127"/>
    </row>
    <row r="13" spans="1:17" s="21" customFormat="1">
      <c r="A13" s="21" t="s">
        <v>51</v>
      </c>
      <c r="B13" s="21">
        <f t="shared" ref="B13:J13" si="1">+B12/F12-1</f>
        <v>4.8426150121065437E-2</v>
      </c>
      <c r="C13" s="21">
        <f t="shared" si="1"/>
        <v>-7.9321663019693678E-2</v>
      </c>
      <c r="D13" s="21">
        <f t="shared" si="1"/>
        <v>0.11715328467153285</v>
      </c>
      <c r="E13" s="21">
        <f t="shared" si="1"/>
        <v>8.1821547574972175E-2</v>
      </c>
      <c r="F13" s="21">
        <f t="shared" si="1"/>
        <v>-0.13308144416456757</v>
      </c>
      <c r="G13" s="21">
        <f t="shared" si="1"/>
        <v>0.13258983890954146</v>
      </c>
      <c r="H13" s="21">
        <f t="shared" si="1"/>
        <v>-0.19906460099386147</v>
      </c>
      <c r="I13" s="21">
        <f t="shared" si="1"/>
        <v>0.20151245551601416</v>
      </c>
      <c r="J13" s="21">
        <f t="shared" si="1"/>
        <v>-0.26231031279033756</v>
      </c>
      <c r="P13" s="87"/>
    </row>
    <row r="14" spans="1:17" s="24" customFormat="1">
      <c r="A14" s="22" t="s">
        <v>52</v>
      </c>
      <c r="B14" s="23" t="s">
        <v>3</v>
      </c>
      <c r="C14" s="23" t="s">
        <v>3</v>
      </c>
      <c r="D14" s="23" t="s">
        <v>3</v>
      </c>
      <c r="E14" s="23" t="s">
        <v>3</v>
      </c>
      <c r="F14" s="23" t="s">
        <v>3</v>
      </c>
      <c r="G14" s="23" t="s">
        <v>3</v>
      </c>
      <c r="H14" s="23" t="s">
        <v>3</v>
      </c>
      <c r="I14" s="23" t="s">
        <v>3</v>
      </c>
      <c r="J14" s="23" t="s">
        <v>3</v>
      </c>
      <c r="K14" s="22"/>
      <c r="L14" s="22"/>
      <c r="M14" s="22"/>
      <c r="N14" s="22"/>
    </row>
    <row r="16" spans="1:17" s="17" customFormat="1">
      <c r="A16" s="25" t="s">
        <v>53</v>
      </c>
      <c r="B16" s="26">
        <f>303-20</f>
        <v>283</v>
      </c>
      <c r="C16" s="26">
        <f>C22-C19-C20-C21</f>
        <v>200</v>
      </c>
      <c r="D16" s="26">
        <f>573+69-13</f>
        <v>629</v>
      </c>
      <c r="E16" s="26">
        <f>584+71+74-14</f>
        <v>715</v>
      </c>
      <c r="F16" s="26">
        <f>493-206+9</f>
        <v>296</v>
      </c>
      <c r="G16" s="26">
        <f t="shared" ref="G16:N16" si="2">G22-G21-G20-G19</f>
        <v>261</v>
      </c>
      <c r="H16" s="26">
        <f>493+28</f>
        <v>521</v>
      </c>
      <c r="I16" s="26">
        <f t="shared" si="2"/>
        <v>697</v>
      </c>
      <c r="J16" s="26">
        <v>337</v>
      </c>
      <c r="K16" s="26">
        <f t="shared" si="2"/>
        <v>372</v>
      </c>
      <c r="L16" s="26">
        <f t="shared" si="2"/>
        <v>766</v>
      </c>
      <c r="M16" s="26">
        <f t="shared" si="2"/>
        <v>524</v>
      </c>
      <c r="N16" s="26">
        <f t="shared" si="2"/>
        <v>816</v>
      </c>
    </row>
    <row r="17" spans="1:17" s="21" customFormat="1">
      <c r="A17" s="21" t="s">
        <v>54</v>
      </c>
      <c r="B17" s="21">
        <f t="shared" ref="B17:G17" si="3">+B16/B12</f>
        <v>0.13071593533487297</v>
      </c>
      <c r="C17" s="21">
        <f t="shared" si="3"/>
        <v>0.11883541295306001</v>
      </c>
      <c r="D17" s="21">
        <f t="shared" si="3"/>
        <v>0.20548840248284875</v>
      </c>
      <c r="E17" s="21">
        <f t="shared" si="3"/>
        <v>0.24469541409993156</v>
      </c>
      <c r="F17" s="21">
        <f t="shared" si="3"/>
        <v>0.14334140435835352</v>
      </c>
      <c r="G17" s="21">
        <f t="shared" si="3"/>
        <v>0.14277899343544859</v>
      </c>
      <c r="H17" s="21">
        <f t="shared" ref="H17:N17" si="4">+H16/H12</f>
        <v>0.19014598540145985</v>
      </c>
      <c r="I17" s="21">
        <f t="shared" si="4"/>
        <v>0.25805257312106628</v>
      </c>
      <c r="J17" s="21">
        <f t="shared" si="4"/>
        <v>0.14147774979009237</v>
      </c>
      <c r="K17" s="21">
        <f t="shared" si="4"/>
        <v>0.23048327137546468</v>
      </c>
      <c r="L17" s="21">
        <f t="shared" si="4"/>
        <v>0.22391113709441685</v>
      </c>
      <c r="M17" s="21">
        <f t="shared" si="4"/>
        <v>0.23309608540925267</v>
      </c>
      <c r="N17" s="21">
        <f t="shared" si="4"/>
        <v>0.25270981728089192</v>
      </c>
      <c r="P17" s="87"/>
    </row>
    <row r="18" spans="1:17" s="24" customFormat="1"/>
    <row r="19" spans="1:17" s="24" customFormat="1">
      <c r="A19" s="19" t="s">
        <v>55</v>
      </c>
      <c r="B19" s="20">
        <v>0</v>
      </c>
      <c r="C19" s="20">
        <v>2</v>
      </c>
      <c r="D19" s="20">
        <v>0</v>
      </c>
      <c r="E19" s="20">
        <v>0</v>
      </c>
      <c r="F19" s="20">
        <v>0</v>
      </c>
      <c r="G19" s="20">
        <v>1</v>
      </c>
      <c r="H19" s="20">
        <v>0</v>
      </c>
      <c r="I19" s="20">
        <f>-9</f>
        <v>-9</v>
      </c>
      <c r="J19" s="20">
        <f>1</f>
        <v>1</v>
      </c>
      <c r="K19" s="20">
        <v>1</v>
      </c>
      <c r="L19" s="20">
        <v>1</v>
      </c>
      <c r="M19" s="20">
        <v>5</v>
      </c>
      <c r="N19" s="20">
        <v>0</v>
      </c>
    </row>
    <row r="20" spans="1:17" s="24" customFormat="1">
      <c r="A20" s="19" t="s">
        <v>56</v>
      </c>
      <c r="B20" s="20">
        <f>13</f>
        <v>13</v>
      </c>
      <c r="C20" s="20">
        <v>37</v>
      </c>
      <c r="D20" s="20">
        <v>27</v>
      </c>
      <c r="E20" s="20">
        <f>23+2</f>
        <v>25</v>
      </c>
      <c r="F20" s="20">
        <f>4+20</f>
        <v>24</v>
      </c>
      <c r="G20" s="20">
        <v>25</v>
      </c>
      <c r="H20" s="20">
        <f>3+12</f>
        <v>15</v>
      </c>
      <c r="I20" s="20">
        <v>9</v>
      </c>
      <c r="J20" s="20">
        <f>8</f>
        <v>8</v>
      </c>
      <c r="K20" s="20">
        <v>0</v>
      </c>
      <c r="L20" s="20">
        <v>6</v>
      </c>
      <c r="M20" s="20">
        <v>9</v>
      </c>
      <c r="N20" s="20">
        <f>10</f>
        <v>10</v>
      </c>
    </row>
    <row r="21" spans="1:17" s="24" customFormat="1">
      <c r="A21" s="19" t="s">
        <v>57</v>
      </c>
      <c r="B21" s="20">
        <f>32+1+4</f>
        <v>37</v>
      </c>
      <c r="C21" s="20">
        <f>30+4</f>
        <v>34</v>
      </c>
      <c r="D21" s="20">
        <f>3-9+27</f>
        <v>21</v>
      </c>
      <c r="E21" s="20">
        <f>E22-E16-E19-E20</f>
        <v>103</v>
      </c>
      <c r="F21" s="20">
        <f>8+5+3</f>
        <v>16</v>
      </c>
      <c r="G21" s="20">
        <f>3+11-4</f>
        <v>10</v>
      </c>
      <c r="H21" s="20">
        <f>7+5+4</f>
        <v>16</v>
      </c>
      <c r="I21" s="20">
        <f>47+4-4-59</f>
        <v>-12</v>
      </c>
      <c r="J21" s="20">
        <f>19+18+2</f>
        <v>39</v>
      </c>
      <c r="K21" s="20">
        <f>14+3+1+5+75</f>
        <v>98</v>
      </c>
      <c r="L21" s="20">
        <f>27+2-4+10+87</f>
        <v>122</v>
      </c>
      <c r="M21" s="20">
        <f>32+5+83+7+33</f>
        <v>160</v>
      </c>
      <c r="N21" s="20">
        <f>34+7-29+9-35</f>
        <v>-14</v>
      </c>
    </row>
    <row r="22" spans="1:17" s="17" customFormat="1">
      <c r="A22" s="17" t="s">
        <v>58</v>
      </c>
      <c r="B22" s="65">
        <f>B16+B19+B20+B21</f>
        <v>333</v>
      </c>
      <c r="C22" s="46">
        <v>273</v>
      </c>
      <c r="D22" s="65">
        <f>D16+D19+D20+D21</f>
        <v>677</v>
      </c>
      <c r="E22" s="46">
        <v>843</v>
      </c>
      <c r="F22" s="65">
        <f>F16+F19+F20+F21</f>
        <v>336</v>
      </c>
      <c r="G22" s="46">
        <v>297</v>
      </c>
      <c r="H22" s="65">
        <f>H16+H19+H20+H21</f>
        <v>552</v>
      </c>
      <c r="I22" s="46">
        <v>685</v>
      </c>
      <c r="J22" s="46">
        <v>385</v>
      </c>
      <c r="K22" s="46">
        <v>471</v>
      </c>
      <c r="L22" s="46">
        <v>895</v>
      </c>
      <c r="M22" s="46">
        <v>698</v>
      </c>
      <c r="N22" s="46">
        <v>812</v>
      </c>
      <c r="P22" s="106"/>
      <c r="Q22" s="106"/>
    </row>
    <row r="23" spans="1:17" s="17" customFormat="1">
      <c r="B23" s="21"/>
      <c r="C23" s="21"/>
      <c r="D23" s="27"/>
      <c r="E23" s="27"/>
      <c r="F23" s="27"/>
      <c r="G23" s="27"/>
      <c r="H23" s="27"/>
      <c r="I23" s="27"/>
      <c r="J23" s="27"/>
      <c r="K23" s="27"/>
      <c r="L23" s="27"/>
      <c r="M23" s="27"/>
      <c r="N23" s="27"/>
      <c r="P23" s="87"/>
    </row>
    <row r="24" spans="1:17" s="17" customFormat="1">
      <c r="A24" s="17" t="s">
        <v>59</v>
      </c>
      <c r="B24" s="27">
        <f t="shared" ref="B24:K24" si="5">SUM(B22:E22)</f>
        <v>2126</v>
      </c>
      <c r="C24" s="27">
        <f t="shared" si="5"/>
        <v>2129</v>
      </c>
      <c r="D24" s="46">
        <v>2566</v>
      </c>
      <c r="E24" s="46">
        <v>2441</v>
      </c>
      <c r="F24" s="46">
        <v>2283</v>
      </c>
      <c r="G24" s="46">
        <v>2119</v>
      </c>
      <c r="H24" s="27">
        <f t="shared" si="5"/>
        <v>2093</v>
      </c>
      <c r="I24" s="27">
        <f t="shared" si="5"/>
        <v>2436</v>
      </c>
      <c r="J24" s="27">
        <f t="shared" si="5"/>
        <v>2449</v>
      </c>
      <c r="K24" s="27">
        <f t="shared" si="5"/>
        <v>2876</v>
      </c>
      <c r="L24" s="27"/>
      <c r="M24" s="27"/>
      <c r="N24" s="27"/>
    </row>
    <row r="25" spans="1:17" s="24" customFormat="1">
      <c r="A25" s="19" t="s">
        <v>60</v>
      </c>
      <c r="B25" s="28">
        <v>0</v>
      </c>
      <c r="C25" s="28">
        <v>0</v>
      </c>
      <c r="D25" s="28">
        <v>0</v>
      </c>
      <c r="E25" s="28">
        <v>0</v>
      </c>
      <c r="F25" s="28">
        <v>0</v>
      </c>
      <c r="G25" s="28">
        <v>0</v>
      </c>
      <c r="H25" s="28">
        <v>0</v>
      </c>
      <c r="I25" s="28">
        <v>0</v>
      </c>
      <c r="J25" s="28">
        <v>0</v>
      </c>
      <c r="K25" s="28">
        <v>0</v>
      </c>
      <c r="L25" s="28"/>
      <c r="M25" s="28"/>
      <c r="N25" s="28"/>
    </row>
    <row r="26" spans="1:17" s="24" customFormat="1">
      <c r="A26" s="19" t="s">
        <v>61</v>
      </c>
      <c r="B26" s="29">
        <f>C26</f>
        <v>-352</v>
      </c>
      <c r="C26" s="29">
        <f>1777-C25-C24</f>
        <v>-352</v>
      </c>
      <c r="D26" s="29">
        <v>0</v>
      </c>
      <c r="E26" s="29">
        <v>0</v>
      </c>
      <c r="F26" s="29">
        <v>0</v>
      </c>
      <c r="G26" s="29">
        <v>0</v>
      </c>
      <c r="H26" s="29">
        <v>0</v>
      </c>
      <c r="I26" s="29">
        <v>0</v>
      </c>
      <c r="J26" s="29">
        <v>0</v>
      </c>
      <c r="K26" s="29">
        <v>0</v>
      </c>
      <c r="L26" s="30"/>
      <c r="M26" s="30"/>
      <c r="N26" s="30"/>
    </row>
    <row r="27" spans="1:17" s="32" customFormat="1">
      <c r="A27" s="17" t="s">
        <v>62</v>
      </c>
      <c r="B27" s="27">
        <f t="shared" ref="B27:K27" si="6">SUM(B24:B26)</f>
        <v>1774</v>
      </c>
      <c r="C27" s="27">
        <f t="shared" si="6"/>
        <v>1777</v>
      </c>
      <c r="D27" s="27">
        <f t="shared" si="6"/>
        <v>2566</v>
      </c>
      <c r="E27" s="27">
        <f t="shared" si="6"/>
        <v>2441</v>
      </c>
      <c r="F27" s="27">
        <f t="shared" si="6"/>
        <v>2283</v>
      </c>
      <c r="G27" s="27">
        <f t="shared" si="6"/>
        <v>2119</v>
      </c>
      <c r="H27" s="27">
        <f t="shared" si="6"/>
        <v>2093</v>
      </c>
      <c r="I27" s="27">
        <f t="shared" si="6"/>
        <v>2436</v>
      </c>
      <c r="J27" s="27">
        <f t="shared" si="6"/>
        <v>2449</v>
      </c>
      <c r="K27" s="27">
        <f t="shared" si="6"/>
        <v>2876</v>
      </c>
      <c r="L27" s="31"/>
      <c r="M27" s="31"/>
      <c r="N27" s="31"/>
    </row>
    <row r="28" spans="1:17" s="24" customFormat="1"/>
    <row r="29" spans="1:17" s="17" customFormat="1">
      <c r="A29" s="17" t="s">
        <v>58</v>
      </c>
      <c r="B29" s="27">
        <f t="shared" ref="B29:N29" si="7">B22</f>
        <v>333</v>
      </c>
      <c r="C29" s="27">
        <f t="shared" si="7"/>
        <v>273</v>
      </c>
      <c r="D29" s="27">
        <f t="shared" si="7"/>
        <v>677</v>
      </c>
      <c r="E29" s="27">
        <f t="shared" si="7"/>
        <v>843</v>
      </c>
      <c r="F29" s="27">
        <f t="shared" si="7"/>
        <v>336</v>
      </c>
      <c r="G29" s="27">
        <f t="shared" si="7"/>
        <v>297</v>
      </c>
      <c r="H29" s="27">
        <f t="shared" si="7"/>
        <v>552</v>
      </c>
      <c r="I29" s="27">
        <f t="shared" si="7"/>
        <v>685</v>
      </c>
      <c r="J29" s="27">
        <f t="shared" si="7"/>
        <v>385</v>
      </c>
      <c r="K29" s="27">
        <f t="shared" si="7"/>
        <v>471</v>
      </c>
      <c r="L29" s="27">
        <f t="shared" si="7"/>
        <v>895</v>
      </c>
      <c r="M29" s="27">
        <f t="shared" si="7"/>
        <v>698</v>
      </c>
      <c r="N29" s="27">
        <f t="shared" si="7"/>
        <v>812</v>
      </c>
    </row>
    <row r="30" spans="1:17" s="33" customFormat="1">
      <c r="A30" s="20" t="s">
        <v>63</v>
      </c>
      <c r="B30" s="20"/>
      <c r="C30" s="20"/>
      <c r="D30" s="20"/>
      <c r="E30" s="20"/>
      <c r="F30" s="20"/>
      <c r="G30" s="20"/>
      <c r="H30" s="20">
        <f>-432+15+3-I30-J30</f>
        <v>29</v>
      </c>
      <c r="I30" s="20">
        <f>-247+29-15</f>
        <v>-233</v>
      </c>
      <c r="J30" s="20">
        <f>-225+15</f>
        <v>-210</v>
      </c>
      <c r="K30" s="20">
        <f>-890-L30-M30-N30</f>
        <v>-174</v>
      </c>
      <c r="L30" s="20">
        <f>-237+42-29</f>
        <v>-224</v>
      </c>
      <c r="M30" s="20">
        <f>-237+29-1</f>
        <v>-209</v>
      </c>
      <c r="N30" s="20">
        <f>-284+1</f>
        <v>-283</v>
      </c>
    </row>
    <row r="31" spans="1:17" s="33" customFormat="1">
      <c r="A31" s="20" t="s">
        <v>64</v>
      </c>
      <c r="B31" s="20"/>
      <c r="C31" s="20"/>
      <c r="D31" s="20"/>
      <c r="E31" s="20"/>
      <c r="F31" s="20"/>
      <c r="G31" s="20"/>
      <c r="H31" s="20">
        <v>-1</v>
      </c>
      <c r="I31" s="20">
        <v>-4</v>
      </c>
      <c r="J31" s="20">
        <v>4</v>
      </c>
      <c r="K31" s="20">
        <f>-14-L31-M31-N31</f>
        <v>60</v>
      </c>
      <c r="L31" s="20">
        <v>-28</v>
      </c>
      <c r="M31" s="20">
        <v>-25</v>
      </c>
      <c r="N31" s="20">
        <v>-21</v>
      </c>
    </row>
    <row r="32" spans="1:17" s="33" customFormat="1">
      <c r="A32" s="20" t="s">
        <v>65</v>
      </c>
      <c r="B32" s="20"/>
      <c r="C32" s="20"/>
      <c r="D32" s="20"/>
      <c r="E32" s="20"/>
      <c r="F32" s="20"/>
      <c r="G32" s="20"/>
      <c r="H32" s="20">
        <f>-295-I32-J32</f>
        <v>84</v>
      </c>
      <c r="I32" s="20">
        <f>-379-J32</f>
        <v>-181</v>
      </c>
      <c r="J32" s="20">
        <v>-198</v>
      </c>
      <c r="K32" s="20">
        <f>-7+71-44-39-35+43-L32-M32-N32</f>
        <v>119</v>
      </c>
      <c r="L32" s="20">
        <f>-130-M32-N32</f>
        <v>142</v>
      </c>
      <c r="M32" s="20">
        <f>-272-N32</f>
        <v>-151</v>
      </c>
      <c r="N32" s="20">
        <v>-121</v>
      </c>
    </row>
    <row r="33" spans="1:17" s="33" customFormat="1">
      <c r="A33" s="20" t="s">
        <v>66</v>
      </c>
      <c r="B33" s="20"/>
      <c r="C33" s="20"/>
      <c r="D33" s="20"/>
      <c r="E33" s="20"/>
      <c r="F33" s="20"/>
      <c r="G33" s="20"/>
      <c r="H33" s="20">
        <f t="shared" ref="H33:N33" si="8">-SUM(H19:H21)</f>
        <v>-31</v>
      </c>
      <c r="I33" s="20">
        <f t="shared" si="8"/>
        <v>12</v>
      </c>
      <c r="J33" s="20">
        <f t="shared" si="8"/>
        <v>-48</v>
      </c>
      <c r="K33" s="20">
        <f t="shared" si="8"/>
        <v>-99</v>
      </c>
      <c r="L33" s="20">
        <f t="shared" si="8"/>
        <v>-129</v>
      </c>
      <c r="M33" s="20">
        <f t="shared" si="8"/>
        <v>-174</v>
      </c>
      <c r="N33" s="20">
        <f t="shared" si="8"/>
        <v>4</v>
      </c>
    </row>
    <row r="34" spans="1:17" s="33" customFormat="1">
      <c r="A34" s="20" t="s">
        <v>57</v>
      </c>
      <c r="B34" s="29"/>
      <c r="C34" s="29"/>
      <c r="D34" s="29"/>
      <c r="E34" s="29"/>
      <c r="F34" s="29"/>
      <c r="G34" s="29"/>
      <c r="H34" s="29">
        <f t="shared" ref="H34:N34" si="9">H35-SUM(H29:H33)</f>
        <v>-9</v>
      </c>
      <c r="I34" s="29">
        <f t="shared" si="9"/>
        <v>-85</v>
      </c>
      <c r="J34" s="29">
        <f t="shared" si="9"/>
        <v>-15</v>
      </c>
      <c r="K34" s="29">
        <f t="shared" si="9"/>
        <v>156</v>
      </c>
      <c r="L34" s="29">
        <f t="shared" si="9"/>
        <v>138</v>
      </c>
      <c r="M34" s="29">
        <f t="shared" si="9"/>
        <v>187</v>
      </c>
      <c r="N34" s="29">
        <f t="shared" si="9"/>
        <v>163</v>
      </c>
    </row>
    <row r="35" spans="1:17" s="27" customFormat="1">
      <c r="A35" s="27" t="s">
        <v>67</v>
      </c>
      <c r="B35" s="27">
        <f>-135</f>
        <v>-135</v>
      </c>
      <c r="C35" s="27">
        <f>1003-758</f>
        <v>245</v>
      </c>
      <c r="D35" s="27">
        <v>558</v>
      </c>
      <c r="E35" s="27">
        <v>167</v>
      </c>
      <c r="F35" s="27">
        <v>246</v>
      </c>
      <c r="G35" s="27">
        <f>856-558</f>
        <v>298</v>
      </c>
      <c r="H35" s="27">
        <f>736-I35-J35</f>
        <v>624</v>
      </c>
      <c r="I35" s="27">
        <f>112-J35</f>
        <v>194</v>
      </c>
      <c r="J35" s="27">
        <v>-82</v>
      </c>
      <c r="K35" s="27">
        <f>2207-L35-M35-N35</f>
        <v>533</v>
      </c>
      <c r="L35" s="27">
        <f>1674-M35-N35</f>
        <v>794</v>
      </c>
      <c r="M35" s="27">
        <f>880-N35</f>
        <v>326</v>
      </c>
      <c r="N35" s="27">
        <v>554</v>
      </c>
    </row>
    <row r="36" spans="1:17" s="33" customFormat="1">
      <c r="A36" s="20" t="s">
        <v>68</v>
      </c>
      <c r="B36" s="29">
        <v>-49</v>
      </c>
      <c r="C36" s="29">
        <f>-388+345</f>
        <v>-43</v>
      </c>
      <c r="D36" s="29">
        <v>346</v>
      </c>
      <c r="E36" s="29">
        <v>-333</v>
      </c>
      <c r="F36" s="29">
        <v>-155</v>
      </c>
      <c r="G36" s="29">
        <f>-254+172</f>
        <v>-82</v>
      </c>
      <c r="H36" s="29">
        <f>-172-I36-J36</f>
        <v>370</v>
      </c>
      <c r="I36" s="29">
        <f>-542-J36</f>
        <v>-306</v>
      </c>
      <c r="J36" s="29">
        <v>-236</v>
      </c>
      <c r="K36" s="29">
        <f>-976-L36-M36-N36</f>
        <v>-317</v>
      </c>
      <c r="L36" s="29">
        <f>-659-M36-N36</f>
        <v>-217</v>
      </c>
      <c r="M36" s="29">
        <f>-442-N36</f>
        <v>-163</v>
      </c>
      <c r="N36" s="29">
        <v>-279</v>
      </c>
    </row>
    <row r="37" spans="1:17" s="27" customFormat="1">
      <c r="A37" s="27" t="s">
        <v>69</v>
      </c>
      <c r="B37" s="27">
        <f>SUM(B35:B36)</f>
        <v>-184</v>
      </c>
      <c r="C37" s="27">
        <f>+C35+C36</f>
        <v>202</v>
      </c>
      <c r="D37" s="27">
        <v>904</v>
      </c>
      <c r="E37" s="27">
        <v>-166</v>
      </c>
      <c r="F37" s="27">
        <f>+F35+F36</f>
        <v>91</v>
      </c>
      <c r="G37" s="27">
        <f>SUM(G35:G36)</f>
        <v>216</v>
      </c>
      <c r="H37" s="27">
        <f t="shared" ref="H37:N37" si="10">+H35+H36</f>
        <v>994</v>
      </c>
      <c r="I37" s="27">
        <f t="shared" si="10"/>
        <v>-112</v>
      </c>
      <c r="J37" s="27">
        <f t="shared" si="10"/>
        <v>-318</v>
      </c>
      <c r="K37" s="27">
        <f t="shared" si="10"/>
        <v>216</v>
      </c>
      <c r="L37" s="27">
        <f t="shared" si="10"/>
        <v>577</v>
      </c>
      <c r="M37" s="27">
        <f t="shared" si="10"/>
        <v>163</v>
      </c>
      <c r="N37" s="27">
        <f t="shared" si="10"/>
        <v>275</v>
      </c>
    </row>
    <row r="39" spans="1:17" s="35" customFormat="1">
      <c r="A39" s="34" t="s">
        <v>70</v>
      </c>
      <c r="B39" s="20">
        <v>0</v>
      </c>
      <c r="C39" s="20">
        <v>0</v>
      </c>
      <c r="D39" s="20">
        <v>0</v>
      </c>
      <c r="E39" s="20">
        <v>0</v>
      </c>
      <c r="F39" s="20">
        <v>0</v>
      </c>
      <c r="G39" s="20">
        <v>0</v>
      </c>
      <c r="H39" s="20">
        <v>0</v>
      </c>
      <c r="I39" s="20">
        <v>0</v>
      </c>
      <c r="J39" s="20">
        <f>125</f>
        <v>125</v>
      </c>
      <c r="K39" s="20">
        <v>0</v>
      </c>
      <c r="L39" s="20"/>
      <c r="M39" s="20"/>
      <c r="N39" s="20"/>
    </row>
    <row r="40" spans="1:17" s="35" customFormat="1">
      <c r="A40" s="34" t="s">
        <v>71</v>
      </c>
      <c r="B40" s="20">
        <f>1694+1</f>
        <v>1695</v>
      </c>
      <c r="C40" s="20">
        <f>1698+1</f>
        <v>1699</v>
      </c>
      <c r="D40" s="20">
        <f>1857+2</f>
        <v>1859</v>
      </c>
      <c r="E40" s="20">
        <f>1862+3</f>
        <v>1865</v>
      </c>
      <c r="F40" s="20">
        <f>1867+4</f>
        <v>1871</v>
      </c>
      <c r="G40" s="20">
        <f>1872+5</f>
        <v>1877</v>
      </c>
      <c r="H40" s="20">
        <f>1876+6</f>
        <v>1882</v>
      </c>
      <c r="I40" s="20">
        <f>1881+6</f>
        <v>1887</v>
      </c>
      <c r="J40" s="20">
        <f>1886+12</f>
        <v>1898</v>
      </c>
      <c r="K40" s="20">
        <f>1891+6</f>
        <v>1897</v>
      </c>
      <c r="L40" s="20"/>
      <c r="M40" s="20"/>
      <c r="N40" s="20"/>
      <c r="Q40" s="33"/>
    </row>
    <row r="41" spans="1:17" s="35" customFormat="1">
      <c r="A41" s="34" t="s">
        <v>72</v>
      </c>
      <c r="B41" s="20">
        <f>B39+B40+733+1000+1230+821+575+466+733</f>
        <v>7253</v>
      </c>
      <c r="C41" s="20">
        <f>6523+1</f>
        <v>6524</v>
      </c>
      <c r="D41" s="20">
        <f>7167+2</f>
        <v>7169</v>
      </c>
      <c r="E41" s="20">
        <f>7729+3</f>
        <v>7732</v>
      </c>
      <c r="F41" s="20">
        <f>7177+4</f>
        <v>7181</v>
      </c>
      <c r="G41" s="20">
        <f>7182+5</f>
        <v>7187</v>
      </c>
      <c r="H41" s="20">
        <f>7790+6</f>
        <v>7796</v>
      </c>
      <c r="I41" s="20">
        <f>7785+6</f>
        <v>7791</v>
      </c>
      <c r="J41" s="20">
        <f>7915+12</f>
        <v>7927</v>
      </c>
      <c r="K41" s="20">
        <f>7795+6</f>
        <v>7801</v>
      </c>
      <c r="L41" s="20"/>
      <c r="M41" s="20"/>
      <c r="N41" s="20"/>
      <c r="Q41" s="33"/>
    </row>
    <row r="42" spans="1:17" s="35" customFormat="1">
      <c r="A42" s="34" t="s">
        <v>73</v>
      </c>
      <c r="B42" s="36">
        <f>267153283/1000000*35.8</f>
        <v>9564.0875313999986</v>
      </c>
      <c r="C42" s="36">
        <f>280997550/1000000*40.91</f>
        <v>11495.609770499999</v>
      </c>
      <c r="D42" s="36">
        <f>289930024/1000000*37.4</f>
        <v>10843.3828976</v>
      </c>
      <c r="E42" s="36">
        <f>303429305/1000000*30.7</f>
        <v>9315.2796634999995</v>
      </c>
      <c r="F42" s="36">
        <f>314886197/1000000*30.53</f>
        <v>9613.4755944099998</v>
      </c>
      <c r="G42" s="36">
        <f>317637917/1000000*26.01</f>
        <v>8261.7622211700018</v>
      </c>
      <c r="H42" s="36">
        <f>316641799/1000000*25</f>
        <v>7916.0449749999998</v>
      </c>
      <c r="I42" s="36">
        <f>316460692/1000000*24.62</f>
        <v>7791.2622370400004</v>
      </c>
      <c r="J42" s="36">
        <f>316082221/1000000*16.9</f>
        <v>5341.7895349</v>
      </c>
      <c r="K42" s="36">
        <f>315972715/1000000*17.08</f>
        <v>5396.8139721999996</v>
      </c>
      <c r="L42" s="36"/>
      <c r="M42" s="36"/>
      <c r="N42" s="36"/>
      <c r="Q42" s="33"/>
    </row>
    <row r="43" spans="1:17">
      <c r="B43" s="35"/>
      <c r="C43" s="35"/>
      <c r="D43" s="35"/>
      <c r="E43" s="35"/>
      <c r="F43" s="35"/>
      <c r="G43" s="35"/>
      <c r="H43" s="35"/>
      <c r="I43" s="35"/>
      <c r="P43" s="35"/>
    </row>
    <row r="44" spans="1:17">
      <c r="A44" s="19" t="s">
        <v>74</v>
      </c>
      <c r="B44" s="28">
        <v>859</v>
      </c>
      <c r="C44" s="28">
        <f>563</f>
        <v>563</v>
      </c>
      <c r="D44" s="28">
        <v>1359</v>
      </c>
      <c r="E44" s="28">
        <v>980</v>
      </c>
      <c r="F44" s="28">
        <v>764</v>
      </c>
      <c r="G44" s="28">
        <v>770</v>
      </c>
      <c r="H44" s="28">
        <v>1223</v>
      </c>
      <c r="I44" s="28">
        <v>752</v>
      </c>
      <c r="J44" s="28">
        <v>1513</v>
      </c>
      <c r="K44" s="28">
        <v>938</v>
      </c>
      <c r="L44" s="57"/>
      <c r="M44" s="57"/>
      <c r="N44" s="57"/>
    </row>
    <row r="46" spans="1:17">
      <c r="A46" s="14" t="s">
        <v>75</v>
      </c>
      <c r="B46" s="58">
        <f>C46+B12-F12</f>
        <v>9578</v>
      </c>
      <c r="C46" s="51">
        <v>9478</v>
      </c>
      <c r="D46" s="51">
        <v>11210</v>
      </c>
      <c r="E46" s="51">
        <v>10889</v>
      </c>
      <c r="F46" s="51">
        <v>10668</v>
      </c>
      <c r="G46" s="51">
        <v>10629</v>
      </c>
      <c r="H46" s="33">
        <f>SUM(H12:K12)</f>
        <v>9437</v>
      </c>
      <c r="I46" s="33">
        <f>SUM(I12:L12)</f>
        <v>10118</v>
      </c>
      <c r="J46" s="33">
        <f>SUM(J12:M12)</f>
        <v>9665</v>
      </c>
      <c r="K46" s="33">
        <f>SUM(K12:N12)</f>
        <v>10512</v>
      </c>
    </row>
    <row r="47" spans="1:17">
      <c r="A47" s="14" t="s">
        <v>76</v>
      </c>
      <c r="B47" s="58">
        <f>B27</f>
        <v>1774</v>
      </c>
      <c r="C47" s="51">
        <f t="shared" ref="C47" si="11">+C27</f>
        <v>1777</v>
      </c>
      <c r="D47" s="51">
        <v>2566</v>
      </c>
      <c r="E47" s="51">
        <v>2441</v>
      </c>
      <c r="F47" s="51">
        <v>2283</v>
      </c>
      <c r="G47" s="51">
        <v>2119</v>
      </c>
      <c r="H47" s="33">
        <f>+H27</f>
        <v>2093</v>
      </c>
      <c r="I47" s="33">
        <f>+I27</f>
        <v>2436</v>
      </c>
      <c r="J47" s="33">
        <f>+J27</f>
        <v>2449</v>
      </c>
      <c r="K47" s="33">
        <f>+K27</f>
        <v>2876</v>
      </c>
    </row>
    <row r="48" spans="1:17">
      <c r="A48" s="14" t="s">
        <v>77</v>
      </c>
      <c r="B48" s="58">
        <f>C48+B37-F37</f>
        <v>340</v>
      </c>
      <c r="C48" s="51">
        <f>1003-388</f>
        <v>615</v>
      </c>
      <c r="D48" s="51">
        <v>487</v>
      </c>
      <c r="E48" s="51">
        <v>577</v>
      </c>
      <c r="F48" s="51">
        <v>631</v>
      </c>
      <c r="G48" s="51">
        <v>314</v>
      </c>
      <c r="H48" s="33">
        <f>+SUM(H37:K37)</f>
        <v>780</v>
      </c>
      <c r="I48" s="33">
        <f>+SUM(I37:L37)</f>
        <v>363</v>
      </c>
      <c r="J48" s="33">
        <f>+SUM(J37:M37)</f>
        <v>638</v>
      </c>
      <c r="K48" s="33">
        <f>+SUM(K37:N37)</f>
        <v>1231</v>
      </c>
    </row>
    <row r="50" spans="1:14" s="37" customFormat="1">
      <c r="A50" s="37" t="s">
        <v>78</v>
      </c>
      <c r="B50" s="37">
        <f t="shared" ref="B50:C50" si="12">+SUM(B39:B40)/B47</f>
        <v>0.95546786922209692</v>
      </c>
      <c r="C50" s="37">
        <f t="shared" si="12"/>
        <v>0.95610579628587511</v>
      </c>
      <c r="D50" s="37">
        <f t="shared" ref="D50:F50" si="13">+SUM(D39:D40)/D47</f>
        <v>0.72447388932190182</v>
      </c>
      <c r="E50" s="37">
        <f t="shared" si="13"/>
        <v>0.76403113478082751</v>
      </c>
      <c r="F50" s="37">
        <f t="shared" si="13"/>
        <v>0.81953569864213749</v>
      </c>
      <c r="G50" s="37">
        <f>+SUM(G39:G40)/G47</f>
        <v>0.88579518640868338</v>
      </c>
      <c r="H50" s="37">
        <f>+SUM(H39:H40)/H47</f>
        <v>0.89918776875298612</v>
      </c>
      <c r="I50" s="37">
        <f>+SUM(I39:I40)/I47</f>
        <v>0.77463054187192115</v>
      </c>
      <c r="J50" s="37">
        <f>+SUM(J39:J40)/J47</f>
        <v>0.82605144957125354</v>
      </c>
      <c r="K50" s="37">
        <f>+SUM(K39:K40)/K47</f>
        <v>0.65959666203059808</v>
      </c>
    </row>
    <row r="51" spans="1:14" s="37" customFormat="1">
      <c r="A51" s="37" t="s">
        <v>79</v>
      </c>
      <c r="B51" s="37">
        <f t="shared" ref="B51:C51" si="14">+B41/B47</f>
        <v>4.088500563697858</v>
      </c>
      <c r="C51" s="37">
        <f t="shared" si="14"/>
        <v>3.6713562183455259</v>
      </c>
      <c r="D51" s="37">
        <f t="shared" ref="D51:F51" si="15">+D41/D47</f>
        <v>2.7938425565081841</v>
      </c>
      <c r="E51" s="37">
        <f t="shared" si="15"/>
        <v>3.1675542810323636</v>
      </c>
      <c r="F51" s="37">
        <f t="shared" si="15"/>
        <v>3.1454226894437145</v>
      </c>
      <c r="G51" s="37">
        <f>+G41/G47</f>
        <v>3.3916941953751771</v>
      </c>
      <c r="H51" s="37">
        <f>+H41/H47</f>
        <v>3.7247969421882465</v>
      </c>
      <c r="I51" s="37">
        <f>+I41/I47</f>
        <v>3.1982758620689653</v>
      </c>
      <c r="J51" s="37">
        <f>+J41/J47</f>
        <v>3.2368313597386686</v>
      </c>
      <c r="K51" s="37">
        <f>+K41/K47</f>
        <v>2.7124478442280946</v>
      </c>
    </row>
    <row r="52" spans="1:14" s="37" customFormat="1">
      <c r="A52" s="37" t="s">
        <v>80</v>
      </c>
      <c r="B52" s="37">
        <f t="shared" ref="B52:C52" si="16">+(B41-B44)/B47</f>
        <v>3.6042841037204059</v>
      </c>
      <c r="C52" s="37">
        <f t="shared" si="16"/>
        <v>3.3545301069217781</v>
      </c>
      <c r="D52" s="37">
        <f t="shared" ref="D52:F52" si="17">+(D41-D44)/D47</f>
        <v>2.264224473889322</v>
      </c>
      <c r="E52" s="37">
        <f t="shared" si="17"/>
        <v>2.766079475624744</v>
      </c>
      <c r="F52" s="37">
        <f t="shared" si="17"/>
        <v>2.8107752956636007</v>
      </c>
      <c r="G52" s="37">
        <f>+(G41-G44)/G47</f>
        <v>3.0283152430391693</v>
      </c>
      <c r="H52" s="37">
        <f>+(H41-H44)/H47</f>
        <v>3.1404682274247491</v>
      </c>
      <c r="I52" s="37">
        <f>+(I41-I44)/I47</f>
        <v>2.8895730706075535</v>
      </c>
      <c r="J52" s="37">
        <f>+(J41-J44)/J47</f>
        <v>2.6190281747652104</v>
      </c>
      <c r="K52" s="37">
        <f>+(K41-K44)/K47</f>
        <v>2.3863004172461753</v>
      </c>
    </row>
    <row r="53" spans="1:14" s="38" customFormat="1">
      <c r="A53" s="38" t="s">
        <v>81</v>
      </c>
      <c r="B53" s="38">
        <f t="shared" ref="B53:C53" si="18">+B48/B41</f>
        <v>4.6877154280987175E-2</v>
      </c>
      <c r="C53" s="38">
        <f t="shared" si="18"/>
        <v>9.4267320662170445E-2</v>
      </c>
      <c r="D53" s="38">
        <f t="shared" ref="D53:F53" si="19">+D48/D41</f>
        <v>6.7931371181475797E-2</v>
      </c>
      <c r="E53" s="38">
        <f t="shared" si="19"/>
        <v>7.4624935333678227E-2</v>
      </c>
      <c r="F53" s="38">
        <f t="shared" si="19"/>
        <v>8.7870770087731517E-2</v>
      </c>
      <c r="G53" s="38">
        <f>+G48/G41</f>
        <v>4.3689995825796579E-2</v>
      </c>
      <c r="H53" s="38">
        <f>+H48/H41</f>
        <v>0.10005130836326322</v>
      </c>
      <c r="I53" s="38">
        <f>+I48/I41</f>
        <v>4.6592221794378129E-2</v>
      </c>
      <c r="J53" s="38">
        <f>+J48/J41</f>
        <v>8.048442033556201E-2</v>
      </c>
      <c r="K53" s="38">
        <f>+K48/K41</f>
        <v>0.15780028201512628</v>
      </c>
    </row>
    <row r="54" spans="1:14" s="38" customFormat="1">
      <c r="A54" s="39" t="s">
        <v>82</v>
      </c>
      <c r="B54" s="40"/>
      <c r="C54" s="40"/>
      <c r="D54" s="40"/>
      <c r="E54" s="40"/>
      <c r="F54" s="40"/>
      <c r="G54" s="40"/>
      <c r="H54" s="40"/>
      <c r="I54" s="40"/>
      <c r="J54" s="40"/>
      <c r="K54" s="40"/>
      <c r="L54" s="39"/>
      <c r="M54" s="39"/>
      <c r="N54" s="39"/>
    </row>
    <row r="55" spans="1:14" s="38" customFormat="1">
      <c r="A55" s="38" t="s">
        <v>83</v>
      </c>
      <c r="B55" s="41">
        <f t="shared" ref="B55:C55" si="20">IF(B42=0,IF(B54="","","*"&amp;TEXT(B54,"0.0x")),(B41+B42-B44)/B47)</f>
        <v>8.995539758399099</v>
      </c>
      <c r="C55" s="41">
        <f t="shared" si="20"/>
        <v>9.8236408387732137</v>
      </c>
      <c r="D55" s="41">
        <f t="shared" ref="D55:F55" si="21">IF(D42=0,IF(D54="","","*"&amp;TEXT(D54,"0.0x")),(D41+D42-D44)/D47)</f>
        <v>6.4900167176929076</v>
      </c>
      <c r="E55" s="41">
        <f t="shared" si="21"/>
        <v>6.5822530370749686</v>
      </c>
      <c r="F55" s="41">
        <f t="shared" si="21"/>
        <v>7.0216713072317125</v>
      </c>
      <c r="G55" s="41">
        <f>IF(G42=0,IF(G54="","","*"&amp;TEXT(G54,"0.0x")),(G41+G42-G44)/G47)</f>
        <v>6.9272119967767827</v>
      </c>
      <c r="H55" s="41">
        <f>IF(H42=0,IF(H54="","","*"&amp;TEXT(H54,"0.0x")),(H41+H42-H44)/H47)</f>
        <v>6.9226206282847587</v>
      </c>
      <c r="I55" s="41">
        <f>IF(I42=0,IF(I54="","","*"&amp;TEXT(I54,"0.0x")),(I41+I42-I44)/I47)</f>
        <v>6.0879565833497535</v>
      </c>
      <c r="J55" s="41">
        <f>IF(J42=0,IF(J54="","","*"&amp;TEXT(J54,"0.0x")),(J41+J42-J44)/J47)</f>
        <v>4.8002407247447936</v>
      </c>
      <c r="K55" s="41">
        <f>IF(K42=0,IF(K54="","","*"&amp;TEXT(K54,"0.0x")),(K41+K42-K44)/K47)</f>
        <v>4.2628004075799719</v>
      </c>
      <c r="L55" s="41" t="str">
        <f>IF(L42=0,IF(L54="","",CONCATENATE("* ",L54,"x")),(L41+L42-L44)/L47)</f>
        <v/>
      </c>
      <c r="M55" s="41" t="str">
        <f>IF(M42=0,IF(M54="","",CONCATENATE("* ",M54,"x")),(M41+M42-M44)/M47)</f>
        <v/>
      </c>
      <c r="N55" s="41" t="str">
        <f>IF(N42=0,IF(N54="","",CONCATENATE("* ",N54,"x")),(N41+N42-N44)/N47)</f>
        <v/>
      </c>
    </row>
    <row r="56" spans="1:14">
      <c r="K56" s="42"/>
    </row>
    <row r="57" spans="1:14" ht="80.25" customHeight="1">
      <c r="A57" s="43" t="s">
        <v>84</v>
      </c>
      <c r="B57" s="44" t="s">
        <v>290</v>
      </c>
      <c r="C57" s="44" t="s">
        <v>301</v>
      </c>
      <c r="D57" s="44"/>
      <c r="E57" s="44"/>
      <c r="F57" s="44"/>
      <c r="G57" s="44"/>
      <c r="H57" s="44"/>
      <c r="I57" s="44"/>
      <c r="J57" s="44"/>
      <c r="K57" s="44"/>
      <c r="L57" s="44"/>
      <c r="M57" s="44"/>
      <c r="N57" s="44"/>
    </row>
    <row r="58" spans="1:14">
      <c r="A58" s="45"/>
      <c r="B58" s="42"/>
      <c r="C58" s="42"/>
      <c r="D58" s="42"/>
      <c r="E58" s="42"/>
      <c r="F58" s="42"/>
      <c r="G58" s="42"/>
    </row>
    <row r="59" spans="1:14">
      <c r="A59" s="45"/>
    </row>
  </sheetData>
  <pageMargins left="0.7" right="0.7" top="0.75" bottom="0.75" header="0.3" footer="0.3"/>
  <pageSetup orientation="portrait" r:id="rId1"/>
  <ignoredErrors>
    <ignoredError sqref="I24:K25" formulaRange="1"/>
  </ignoredErrors>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2:AB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1" width="10.6640625" style="14" customWidth="1"/>
    <col min="12" max="23" width="10.6640625" style="14" hidden="1" customWidth="1"/>
    <col min="24" max="24" width="9.109375" style="14"/>
    <col min="25" max="25" width="11.44140625" style="14" bestFit="1" customWidth="1"/>
    <col min="26" max="26" width="12.44140625" style="14" bestFit="1" customWidth="1"/>
    <col min="27" max="27" width="9.44140625" style="14" bestFit="1" customWidth="1"/>
    <col min="28" max="16384" width="9.109375" style="14"/>
  </cols>
  <sheetData>
    <row r="2" spans="1:25">
      <c r="A2" s="13" t="s">
        <v>44</v>
      </c>
      <c r="B2" s="14" t="s">
        <v>158</v>
      </c>
    </row>
    <row r="3" spans="1:25" s="16" customFormat="1">
      <c r="A3" s="15" t="s">
        <v>45</v>
      </c>
      <c r="B3" s="16" t="s">
        <v>159</v>
      </c>
    </row>
    <row r="4" spans="1:25">
      <c r="A4" s="13" t="s">
        <v>2</v>
      </c>
      <c r="B4" s="14" t="s">
        <v>4</v>
      </c>
    </row>
    <row r="5" spans="1:25">
      <c r="A5" s="13" t="s">
        <v>46</v>
      </c>
    </row>
    <row r="6" spans="1:25">
      <c r="A6" s="13" t="s">
        <v>47</v>
      </c>
      <c r="B6" s="14">
        <v>3</v>
      </c>
    </row>
    <row r="7" spans="1:25">
      <c r="A7" s="13" t="s">
        <v>48</v>
      </c>
      <c r="B7" s="14" t="s">
        <v>237</v>
      </c>
    </row>
    <row r="8" spans="1:25">
      <c r="A8" s="13" t="s">
        <v>347</v>
      </c>
      <c r="B8" s="14" t="s">
        <v>372</v>
      </c>
    </row>
    <row r="9" spans="1:25">
      <c r="A9" s="17"/>
    </row>
    <row r="10" spans="1:25">
      <c r="A10" s="17" t="s">
        <v>49</v>
      </c>
      <c r="B10" s="18">
        <v>44377</v>
      </c>
      <c r="C10" s="18">
        <v>44286</v>
      </c>
      <c r="D10" s="18">
        <v>44196</v>
      </c>
      <c r="E10" s="18">
        <v>44104</v>
      </c>
      <c r="F10" s="18">
        <v>44012</v>
      </c>
      <c r="G10" s="18">
        <v>43921</v>
      </c>
      <c r="H10" s="18">
        <v>43830</v>
      </c>
      <c r="I10" s="18">
        <v>43738</v>
      </c>
      <c r="J10" s="18">
        <v>43646</v>
      </c>
      <c r="K10" s="18">
        <v>43555</v>
      </c>
      <c r="L10" s="18">
        <v>43465</v>
      </c>
      <c r="M10" s="18">
        <v>43373</v>
      </c>
      <c r="N10" s="18">
        <v>43281</v>
      </c>
      <c r="O10" s="18">
        <v>43190</v>
      </c>
      <c r="P10" s="18">
        <v>43100</v>
      </c>
      <c r="Q10" s="18">
        <v>43008</v>
      </c>
      <c r="R10" s="18">
        <v>42916</v>
      </c>
      <c r="S10" s="18">
        <v>42825</v>
      </c>
      <c r="T10" s="18">
        <v>42735</v>
      </c>
      <c r="U10" s="18">
        <v>42643</v>
      </c>
      <c r="V10" s="18">
        <v>42551</v>
      </c>
      <c r="W10" s="18">
        <v>42460</v>
      </c>
    </row>
    <row r="12" spans="1:25">
      <c r="A12" s="19" t="s">
        <v>50</v>
      </c>
      <c r="B12" s="20">
        <v>194.66298900000001</v>
      </c>
      <c r="C12" s="20">
        <v>178.04001299999999</v>
      </c>
      <c r="D12" s="20">
        <f>715.333-E12-F12-G12</f>
        <v>168.99723600000007</v>
      </c>
      <c r="E12" s="20">
        <v>168.51767899999999</v>
      </c>
      <c r="F12" s="20">
        <v>163.152343</v>
      </c>
      <c r="G12" s="20">
        <v>214.66574199999999</v>
      </c>
      <c r="H12" s="20">
        <f>834.361-I12-J12-K12</f>
        <v>205.47632199999993</v>
      </c>
      <c r="I12" s="20">
        <v>195.694501</v>
      </c>
      <c r="J12" s="20">
        <v>221.42862299999999</v>
      </c>
      <c r="K12" s="20">
        <v>211.76155399999999</v>
      </c>
      <c r="L12" s="20">
        <f>803.258-M12-N12-O12</f>
        <v>201.32932900000006</v>
      </c>
      <c r="M12" s="20">
        <v>200.416978</v>
      </c>
      <c r="N12" s="20">
        <v>204.834135</v>
      </c>
      <c r="O12" s="20">
        <v>196.677558</v>
      </c>
      <c r="P12" s="20">
        <f>479.761-S12-R12-Q12</f>
        <v>173.41807899999998</v>
      </c>
      <c r="Q12" s="20">
        <v>99.942920999999998</v>
      </c>
      <c r="R12" s="20">
        <v>101.908</v>
      </c>
      <c r="S12" s="20">
        <v>104.492</v>
      </c>
      <c r="T12" s="20">
        <v>79.64</v>
      </c>
      <c r="U12" s="20">
        <v>79.772000000000006</v>
      </c>
      <c r="V12" s="20">
        <v>96.754000000000005</v>
      </c>
      <c r="W12" s="20">
        <v>89.790999999999997</v>
      </c>
      <c r="Y12" s="33"/>
    </row>
    <row r="13" spans="1:25" s="21" customFormat="1">
      <c r="A13" s="21" t="s">
        <v>51</v>
      </c>
      <c r="B13" s="21">
        <f t="shared" ref="B13:S13" si="0">+B12/F12-1</f>
        <v>0.1931363376130002</v>
      </c>
      <c r="C13" s="21">
        <f t="shared" si="0"/>
        <v>-0.17061748492686835</v>
      </c>
      <c r="D13" s="21">
        <f t="shared" si="0"/>
        <v>-0.17753425623415564</v>
      </c>
      <c r="E13" s="21">
        <f t="shared" si="0"/>
        <v>-0.13887371316580843</v>
      </c>
      <c r="F13" s="21">
        <f t="shared" si="0"/>
        <v>-0.26318313870379795</v>
      </c>
      <c r="G13" s="21">
        <f t="shared" si="0"/>
        <v>1.3714425235092476E-2</v>
      </c>
      <c r="H13" s="21">
        <f t="shared" si="0"/>
        <v>2.0598057027249483E-2</v>
      </c>
      <c r="I13" s="21">
        <f t="shared" si="0"/>
        <v>-2.3563258198614268E-2</v>
      </c>
      <c r="J13" s="21">
        <f t="shared" si="0"/>
        <v>8.1014270399804023E-2</v>
      </c>
      <c r="K13" s="21">
        <f t="shared" si="0"/>
        <v>7.6694037455966368E-2</v>
      </c>
      <c r="L13" s="21">
        <f t="shared" si="0"/>
        <v>0.16094775216602475</v>
      </c>
      <c r="M13" s="21">
        <f t="shared" si="0"/>
        <v>1.0053143934026103</v>
      </c>
      <c r="N13" s="21">
        <f t="shared" si="0"/>
        <v>1.0099907269301722</v>
      </c>
      <c r="O13" s="21">
        <f t="shared" si="0"/>
        <v>0.88222598859242818</v>
      </c>
      <c r="P13" s="21">
        <f t="shared" si="0"/>
        <v>1.1775248493219483</v>
      </c>
      <c r="Q13" s="21">
        <f t="shared" si="0"/>
        <v>0.25285715539286957</v>
      </c>
      <c r="R13" s="21">
        <f t="shared" si="0"/>
        <v>5.3269115488765229E-2</v>
      </c>
      <c r="S13" s="21">
        <f t="shared" si="0"/>
        <v>0.16372464946375476</v>
      </c>
    </row>
    <row r="14" spans="1:25"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t="s">
        <v>3</v>
      </c>
      <c r="P14" s="23" t="s">
        <v>3</v>
      </c>
      <c r="Q14" s="23" t="s">
        <v>3</v>
      </c>
      <c r="R14" s="23" t="s">
        <v>3</v>
      </c>
      <c r="S14" s="23" t="s">
        <v>3</v>
      </c>
      <c r="T14" s="23"/>
      <c r="U14" s="23"/>
      <c r="V14" s="22"/>
      <c r="W14" s="22"/>
    </row>
    <row r="16" spans="1:25" s="17" customFormat="1">
      <c r="A16" s="25" t="s">
        <v>53</v>
      </c>
      <c r="B16" s="26">
        <v>31.265999999999998</v>
      </c>
      <c r="C16" s="26">
        <v>28.843</v>
      </c>
      <c r="D16" s="26">
        <v>23.135999999999999</v>
      </c>
      <c r="E16" s="26">
        <v>25.058</v>
      </c>
      <c r="F16" s="26">
        <v>34.713999999999999</v>
      </c>
      <c r="G16" s="26">
        <v>29.547000000000001</v>
      </c>
      <c r="H16" s="26">
        <v>23.177</v>
      </c>
      <c r="I16" s="26">
        <v>21.695</v>
      </c>
      <c r="J16" s="26">
        <v>37.107999999999997</v>
      </c>
      <c r="K16" s="26">
        <v>28.399000000000001</v>
      </c>
      <c r="L16" s="26">
        <v>25.817</v>
      </c>
      <c r="M16" s="26">
        <v>25.584</v>
      </c>
      <c r="N16" s="26">
        <v>30.321999999999999</v>
      </c>
      <c r="O16" s="26">
        <v>28.219000000000001</v>
      </c>
      <c r="P16" s="26">
        <v>22.344999999999999</v>
      </c>
      <c r="Q16" s="26">
        <v>9.5519999999999996</v>
      </c>
      <c r="R16" s="26">
        <v>9.8940000000000055</v>
      </c>
      <c r="S16" s="26">
        <v>8.2230000000000025</v>
      </c>
      <c r="T16" s="26">
        <v>1.0269999999999992</v>
      </c>
      <c r="U16" s="26">
        <v>3.8220000000000081</v>
      </c>
      <c r="V16" s="26">
        <v>11.44000000000001</v>
      </c>
      <c r="W16" s="26">
        <v>7.8419999999999952</v>
      </c>
    </row>
    <row r="17" spans="1:28" s="21" customFormat="1">
      <c r="A17" s="21" t="s">
        <v>54</v>
      </c>
      <c r="B17" s="21">
        <f t="shared" ref="B17" si="1">+B16/B12</f>
        <v>0.16061604807681237</v>
      </c>
      <c r="C17" s="21">
        <f t="shared" ref="C17:D17" si="2">+C16/C12</f>
        <v>0.16200290886296442</v>
      </c>
      <c r="D17" s="21">
        <f t="shared" si="2"/>
        <v>0.13690164731451579</v>
      </c>
      <c r="E17" s="21">
        <f t="shared" ref="E17:F17" si="3">+E16/E12</f>
        <v>0.14869656494616212</v>
      </c>
      <c r="F17" s="21">
        <f t="shared" si="3"/>
        <v>0.21277046569904301</v>
      </c>
      <c r="G17" s="21">
        <f t="shared" ref="G17:H17" si="4">+G16/G12</f>
        <v>0.13764189723388653</v>
      </c>
      <c r="H17" s="21">
        <f t="shared" si="4"/>
        <v>0.11279645155416014</v>
      </c>
      <c r="I17" s="21">
        <f t="shared" ref="I17:J17" si="5">+I16/I12</f>
        <v>0.11086157193553435</v>
      </c>
      <c r="J17" s="21">
        <f t="shared" si="5"/>
        <v>0.16758447709806695</v>
      </c>
      <c r="K17" s="21">
        <f t="shared" ref="K17:L17" si="6">+K16/K12</f>
        <v>0.13410838494318947</v>
      </c>
      <c r="L17" s="21">
        <f t="shared" si="6"/>
        <v>0.12823268287950235</v>
      </c>
      <c r="M17" s="21">
        <f t="shared" ref="M17:W17" si="7">+M16/M12</f>
        <v>0.12765385575267979</v>
      </c>
      <c r="N17" s="21">
        <f t="shared" si="7"/>
        <v>0.14803196742574179</v>
      </c>
      <c r="O17" s="21">
        <f t="shared" si="7"/>
        <v>0.14347849488755601</v>
      </c>
      <c r="P17" s="21">
        <f t="shared" si="7"/>
        <v>0.12885046431635308</v>
      </c>
      <c r="Q17" s="21">
        <f t="shared" si="7"/>
        <v>9.557455299910636E-2</v>
      </c>
      <c r="R17" s="21">
        <f t="shared" si="7"/>
        <v>9.7087569180044797E-2</v>
      </c>
      <c r="S17" s="21">
        <f t="shared" si="7"/>
        <v>7.8695019714427925E-2</v>
      </c>
      <c r="T17" s="21">
        <f t="shared" si="7"/>
        <v>1.2895529884480152E-2</v>
      </c>
      <c r="U17" s="21">
        <f t="shared" si="7"/>
        <v>4.7911547911548009E-2</v>
      </c>
      <c r="V17" s="21">
        <f t="shared" si="7"/>
        <v>0.11823800566384862</v>
      </c>
      <c r="W17" s="21">
        <f t="shared" si="7"/>
        <v>8.7336147275339351E-2</v>
      </c>
    </row>
    <row r="18" spans="1:28" s="24" customFormat="1"/>
    <row r="19" spans="1:28"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row>
    <row r="20" spans="1:28"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113"/>
    </row>
    <row r="21" spans="1:28"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f t="shared" ref="Q21:W21" si="8">Q22-Q16-Q19-Q20</f>
        <v>1.5579999999999998</v>
      </c>
      <c r="R21" s="20">
        <f t="shared" si="8"/>
        <v>1.3540139999999994</v>
      </c>
      <c r="S21" s="20">
        <f t="shared" si="8"/>
        <v>1.8793225499999995</v>
      </c>
      <c r="T21" s="20">
        <f t="shared" si="8"/>
        <v>5.3357912700000005</v>
      </c>
      <c r="U21" s="20">
        <f t="shared" si="8"/>
        <v>4.0555525499999998</v>
      </c>
      <c r="V21" s="20">
        <f t="shared" si="8"/>
        <v>4.4597913010416672</v>
      </c>
      <c r="W21" s="20">
        <f t="shared" si="8"/>
        <v>4.4976715318749996</v>
      </c>
    </row>
    <row r="22" spans="1:28" s="17" customFormat="1">
      <c r="A22" s="17" t="s">
        <v>58</v>
      </c>
      <c r="B22" s="27">
        <f t="shared" ref="B22" si="9">B16+B19+B20+B21</f>
        <v>31.265999999999998</v>
      </c>
      <c r="C22" s="27">
        <f t="shared" ref="C22:D22" si="10">C16+C19+C20+C21</f>
        <v>28.843</v>
      </c>
      <c r="D22" s="27">
        <f t="shared" si="10"/>
        <v>23.135999999999999</v>
      </c>
      <c r="E22" s="27">
        <f t="shared" ref="E22:F22" si="11">E16+E19+E20+E21</f>
        <v>25.058</v>
      </c>
      <c r="F22" s="27">
        <f t="shared" si="11"/>
        <v>34.713999999999999</v>
      </c>
      <c r="G22" s="27">
        <f t="shared" ref="G22:H22" si="12">G16+G19+G20+G21</f>
        <v>29.547000000000001</v>
      </c>
      <c r="H22" s="27">
        <f t="shared" si="12"/>
        <v>23.177</v>
      </c>
      <c r="I22" s="27">
        <f t="shared" ref="I22:J22" si="13">I16+I19+I20+I21</f>
        <v>21.695</v>
      </c>
      <c r="J22" s="27">
        <f t="shared" si="13"/>
        <v>37.107999999999997</v>
      </c>
      <c r="K22" s="27">
        <f t="shared" ref="K22:P22" si="14">K16+K19+K20+K21</f>
        <v>28.399000000000001</v>
      </c>
      <c r="L22" s="27">
        <f t="shared" si="14"/>
        <v>25.817</v>
      </c>
      <c r="M22" s="27">
        <f t="shared" si="14"/>
        <v>25.584</v>
      </c>
      <c r="N22" s="27">
        <f t="shared" si="14"/>
        <v>30.321999999999999</v>
      </c>
      <c r="O22" s="27">
        <f t="shared" si="14"/>
        <v>28.219000000000001</v>
      </c>
      <c r="P22" s="27">
        <f t="shared" si="14"/>
        <v>22.344999999999999</v>
      </c>
      <c r="Q22" s="27">
        <v>11.11</v>
      </c>
      <c r="R22" s="27">
        <v>11.248014000000005</v>
      </c>
      <c r="S22" s="27">
        <v>10.102322550000002</v>
      </c>
      <c r="T22" s="27">
        <v>6.3627912699999998</v>
      </c>
      <c r="U22" s="27">
        <v>7.8775525500000079</v>
      </c>
      <c r="V22" s="27">
        <v>15.899791301041677</v>
      </c>
      <c r="W22" s="27">
        <v>12.339671531874995</v>
      </c>
    </row>
    <row r="23" spans="1:28" s="17" customFormat="1">
      <c r="B23" s="21"/>
      <c r="C23" s="21"/>
      <c r="D23" s="21"/>
      <c r="E23" s="21"/>
      <c r="F23" s="21"/>
      <c r="G23" s="21"/>
      <c r="H23" s="21"/>
      <c r="I23" s="21"/>
      <c r="J23" s="21"/>
      <c r="K23" s="21"/>
      <c r="L23" s="21"/>
      <c r="M23" s="21"/>
      <c r="N23" s="27"/>
      <c r="O23" s="27"/>
      <c r="P23" s="27"/>
      <c r="Q23" s="27"/>
      <c r="R23" s="27"/>
      <c r="S23" s="27"/>
      <c r="T23" s="27"/>
      <c r="U23" s="27"/>
      <c r="V23" s="27"/>
      <c r="W23" s="27"/>
    </row>
    <row r="24" spans="1:28" s="17" customFormat="1">
      <c r="A24" s="17" t="s">
        <v>59</v>
      </c>
      <c r="B24" s="27">
        <f t="shared" ref="B24:T24" si="15">SUM(B22:E22)</f>
        <v>108.303</v>
      </c>
      <c r="C24" s="27">
        <f t="shared" si="15"/>
        <v>111.751</v>
      </c>
      <c r="D24" s="27">
        <f t="shared" si="15"/>
        <v>112.455</v>
      </c>
      <c r="E24" s="27">
        <f t="shared" si="15"/>
        <v>112.49600000000001</v>
      </c>
      <c r="F24" s="27">
        <f t="shared" si="15"/>
        <v>109.13299999999998</v>
      </c>
      <c r="G24" s="27">
        <f t="shared" si="15"/>
        <v>111.52700000000002</v>
      </c>
      <c r="H24" s="27">
        <f t="shared" si="15"/>
        <v>110.37899999999999</v>
      </c>
      <c r="I24" s="27">
        <f t="shared" si="15"/>
        <v>113.01900000000001</v>
      </c>
      <c r="J24" s="27">
        <f t="shared" si="15"/>
        <v>116.90800000000002</v>
      </c>
      <c r="K24" s="27">
        <f t="shared" si="15"/>
        <v>110.122</v>
      </c>
      <c r="L24" s="27">
        <f t="shared" si="15"/>
        <v>109.94200000000001</v>
      </c>
      <c r="M24" s="27">
        <f t="shared" si="15"/>
        <v>106.47</v>
      </c>
      <c r="N24" s="27">
        <f t="shared" si="15"/>
        <v>91.995999999999995</v>
      </c>
      <c r="O24" s="27">
        <f t="shared" si="15"/>
        <v>72.922014000000004</v>
      </c>
      <c r="P24" s="27">
        <f t="shared" si="15"/>
        <v>54.805336550000007</v>
      </c>
      <c r="Q24" s="27">
        <f t="shared" si="15"/>
        <v>38.823127820000011</v>
      </c>
      <c r="R24" s="27">
        <f t="shared" si="15"/>
        <v>35.590680370000015</v>
      </c>
      <c r="S24" s="27">
        <f t="shared" si="15"/>
        <v>40.242457671041691</v>
      </c>
      <c r="T24" s="27">
        <f t="shared" si="15"/>
        <v>42.479806652916679</v>
      </c>
      <c r="U24" s="27"/>
      <c r="V24" s="27"/>
      <c r="W24" s="27"/>
    </row>
    <row r="25" spans="1:28" s="24" customFormat="1">
      <c r="A25" s="19" t="s">
        <v>60</v>
      </c>
      <c r="B25" s="28">
        <f>110.389-B24</f>
        <v>2.0859999999999985</v>
      </c>
      <c r="C25" s="28">
        <f>113.307-C24</f>
        <v>1.5559999999999974</v>
      </c>
      <c r="D25" s="28">
        <f>122.859-D24</f>
        <v>10.403999999999996</v>
      </c>
      <c r="E25" s="28">
        <f>128.484-E24</f>
        <v>15.988</v>
      </c>
      <c r="F25" s="28">
        <f>125.03-F24</f>
        <v>15.89700000000002</v>
      </c>
      <c r="G25" s="28">
        <f>130.533-G24</f>
        <v>19.005999999999972</v>
      </c>
      <c r="H25" s="28">
        <f>118.596-H24</f>
        <v>8.217000000000013</v>
      </c>
      <c r="I25" s="28">
        <f>118.887-I24</f>
        <v>5.867999999999995</v>
      </c>
      <c r="J25" s="28">
        <f>124.394-J24</f>
        <v>7.48599999999999</v>
      </c>
      <c r="K25" s="28">
        <f>115.57-K24</f>
        <v>5.4479999999999933</v>
      </c>
      <c r="L25" s="28">
        <f>110.767-L24</f>
        <v>0.82499999999998863</v>
      </c>
      <c r="M25" s="28">
        <f>112.618-M24</f>
        <v>6.1479999999999961</v>
      </c>
      <c r="N25" s="28">
        <f>92.747-N24</f>
        <v>0.75100000000000477</v>
      </c>
      <c r="O25" s="28">
        <f>73.133014-O24</f>
        <v>0.21099999999999852</v>
      </c>
      <c r="P25" s="28">
        <v>0</v>
      </c>
      <c r="Q25" s="28">
        <v>0</v>
      </c>
      <c r="R25" s="28">
        <v>0</v>
      </c>
      <c r="S25" s="28">
        <v>0</v>
      </c>
      <c r="T25" s="28">
        <v>0</v>
      </c>
      <c r="U25" s="28"/>
      <c r="V25" s="28"/>
      <c r="W25" s="28"/>
    </row>
    <row r="26" spans="1:28" s="24" customFormat="1">
      <c r="A26" s="19" t="s">
        <v>61</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f>SUM({1,1,0.9523653599079,0.0923653599078993})</f>
        <v>3.0447307198157998</v>
      </c>
      <c r="S26" s="29">
        <f>SUM({1,1,1,0.9523653599079;0,0,0,0.219})</f>
        <v>4.1713653599079006</v>
      </c>
      <c r="T26" s="29">
        <f>SUM({1,1,1,1;0,0,0,0})</f>
        <v>4</v>
      </c>
      <c r="U26" s="29"/>
      <c r="V26" s="29"/>
      <c r="W26" s="30"/>
      <c r="Y26" s="136"/>
      <c r="Z26" s="136"/>
    </row>
    <row r="27" spans="1:28" s="32" customFormat="1">
      <c r="A27" s="17" t="s">
        <v>62</v>
      </c>
      <c r="B27" s="27">
        <f t="shared" ref="B27:C27" si="16">SUM(B24:B26)</f>
        <v>110.389</v>
      </c>
      <c r="C27" s="27">
        <f t="shared" si="16"/>
        <v>113.307</v>
      </c>
      <c r="D27" s="27">
        <f t="shared" ref="D27:E27" si="17">SUM(D24:D26)</f>
        <v>122.85899999999999</v>
      </c>
      <c r="E27" s="27">
        <f t="shared" si="17"/>
        <v>128.48400000000001</v>
      </c>
      <c r="F27" s="27">
        <f t="shared" ref="F27:G27" si="18">SUM(F24:F26)</f>
        <v>125.03</v>
      </c>
      <c r="G27" s="27">
        <f t="shared" si="18"/>
        <v>130.53299999999999</v>
      </c>
      <c r="H27" s="27">
        <f t="shared" ref="H27:I27" si="19">SUM(H24:H26)</f>
        <v>118.596</v>
      </c>
      <c r="I27" s="27">
        <f t="shared" si="19"/>
        <v>118.887</v>
      </c>
      <c r="J27" s="27">
        <f t="shared" ref="J27:T27" si="20">SUM(J24:J26)</f>
        <v>124.39400000000001</v>
      </c>
      <c r="K27" s="27">
        <f t="shared" si="20"/>
        <v>115.57</v>
      </c>
      <c r="L27" s="27">
        <f t="shared" si="20"/>
        <v>110.767</v>
      </c>
      <c r="M27" s="27">
        <f t="shared" si="20"/>
        <v>112.61799999999999</v>
      </c>
      <c r="N27" s="27">
        <f t="shared" si="20"/>
        <v>92.747</v>
      </c>
      <c r="O27" s="27">
        <f t="shared" si="20"/>
        <v>73.133014000000003</v>
      </c>
      <c r="P27" s="27">
        <f t="shared" si="20"/>
        <v>54.805336550000007</v>
      </c>
      <c r="Q27" s="27">
        <f t="shared" si="20"/>
        <v>38.823127820000011</v>
      </c>
      <c r="R27" s="27">
        <f t="shared" si="20"/>
        <v>38.635411089815818</v>
      </c>
      <c r="S27" s="27">
        <f t="shared" si="20"/>
        <v>44.413823030949594</v>
      </c>
      <c r="T27" s="27">
        <f t="shared" si="20"/>
        <v>46.479806652916679</v>
      </c>
      <c r="U27" s="27"/>
      <c r="V27" s="27"/>
      <c r="W27" s="31"/>
      <c r="Y27" s="139"/>
      <c r="Z27" s="139"/>
    </row>
    <row r="28" spans="1:28" s="24" customFormat="1">
      <c r="Y28" s="136"/>
      <c r="Z28" s="136"/>
    </row>
    <row r="29" spans="1:28" s="17" customFormat="1">
      <c r="A29" s="17" t="s">
        <v>58</v>
      </c>
      <c r="B29" s="27">
        <f t="shared" ref="B29" si="21">B22</f>
        <v>31.265999999999998</v>
      </c>
      <c r="C29" s="27">
        <f t="shared" ref="C29:D29" si="22">C22</f>
        <v>28.843</v>
      </c>
      <c r="D29" s="27">
        <f t="shared" si="22"/>
        <v>23.135999999999999</v>
      </c>
      <c r="E29" s="27">
        <f t="shared" ref="E29:W29" si="23">E22</f>
        <v>25.058</v>
      </c>
      <c r="F29" s="27">
        <f t="shared" si="23"/>
        <v>34.713999999999999</v>
      </c>
      <c r="G29" s="27">
        <f t="shared" si="23"/>
        <v>29.547000000000001</v>
      </c>
      <c r="H29" s="27">
        <f t="shared" si="23"/>
        <v>23.177</v>
      </c>
      <c r="I29" s="27">
        <f t="shared" si="23"/>
        <v>21.695</v>
      </c>
      <c r="J29" s="27">
        <f t="shared" si="23"/>
        <v>37.107999999999997</v>
      </c>
      <c r="K29" s="27">
        <f t="shared" si="23"/>
        <v>28.399000000000001</v>
      </c>
      <c r="L29" s="27">
        <f t="shared" si="23"/>
        <v>25.817</v>
      </c>
      <c r="M29" s="27">
        <f t="shared" si="23"/>
        <v>25.584</v>
      </c>
      <c r="N29" s="27">
        <f t="shared" si="23"/>
        <v>30.321999999999999</v>
      </c>
      <c r="O29" s="27">
        <f t="shared" si="23"/>
        <v>28.219000000000001</v>
      </c>
      <c r="P29" s="27">
        <f t="shared" si="23"/>
        <v>22.344999999999999</v>
      </c>
      <c r="Q29" s="27">
        <f t="shared" si="23"/>
        <v>11.11</v>
      </c>
      <c r="R29" s="27">
        <f t="shared" si="23"/>
        <v>11.248014000000005</v>
      </c>
      <c r="S29" s="27">
        <f t="shared" si="23"/>
        <v>10.102322550000002</v>
      </c>
      <c r="T29" s="27">
        <f t="shared" si="23"/>
        <v>6.3627912699999998</v>
      </c>
      <c r="U29" s="27">
        <f t="shared" si="23"/>
        <v>7.8775525500000079</v>
      </c>
      <c r="V29" s="27">
        <f t="shared" si="23"/>
        <v>15.899791301041677</v>
      </c>
      <c r="W29" s="27">
        <f t="shared" si="23"/>
        <v>12.339671531874995</v>
      </c>
      <c r="Y29" s="75"/>
      <c r="Z29" s="75"/>
      <c r="AA29" s="75"/>
      <c r="AB29" s="75"/>
    </row>
    <row r="30" spans="1:28" s="33" customFormat="1">
      <c r="A30" s="20" t="s">
        <v>63</v>
      </c>
      <c r="B30" s="20">
        <f>-9.218404+0.926704</f>
        <v>-8.2916999999999987</v>
      </c>
      <c r="C30" s="20">
        <f>-9.235699+0.915795</f>
        <v>-8.3199040000000011</v>
      </c>
      <c r="D30" s="20">
        <f>-36.218-E30-F30-G30</f>
        <v>-7.3931580000000032</v>
      </c>
      <c r="E30" s="20">
        <f>-11.106435+0.922026</f>
        <v>-10.184408999999999</v>
      </c>
      <c r="F30" s="20">
        <f>-9.95433+0.926221</f>
        <v>-9.0281090000000006</v>
      </c>
      <c r="G30" s="20">
        <f>-10.528057+0.915733</f>
        <v>-9.612324000000001</v>
      </c>
      <c r="H30" s="20">
        <f>-42.945-I30-J30-K30</f>
        <v>-10.022745000000002</v>
      </c>
      <c r="I30" s="20">
        <f>-11.776392+0.921964</f>
        <v>-10.854427999999999</v>
      </c>
      <c r="J30" s="20">
        <f>-12.053243+0.927748</f>
        <v>-11.125495000000001</v>
      </c>
      <c r="K30" s="20">
        <f>-11.856613+0.914281</f>
        <v>-10.942331999999999</v>
      </c>
      <c r="L30" s="20">
        <f>-42.04-M30-N30-O30</f>
        <v>-10.238672999999999</v>
      </c>
      <c r="M30" s="20">
        <f>-11.148254+0.92241</f>
        <v>-10.225844</v>
      </c>
      <c r="N30" s="20">
        <f>-11.30066-0.090058</f>
        <v>-11.390718000000001</v>
      </c>
      <c r="O30" s="20">
        <f>-11.07218+0.887415</f>
        <v>-10.184764999999999</v>
      </c>
      <c r="P30" s="20">
        <v>0</v>
      </c>
      <c r="Q30" s="20">
        <v>0</v>
      </c>
      <c r="R30" s="20">
        <v>0</v>
      </c>
      <c r="S30" s="20">
        <f>-4.821993+0.429</f>
        <v>-4.3929929999999997</v>
      </c>
      <c r="T30" s="20">
        <v>0</v>
      </c>
      <c r="U30" s="20">
        <v>0</v>
      </c>
      <c r="V30" s="20">
        <v>0</v>
      </c>
      <c r="W30" s="20">
        <v>0</v>
      </c>
    </row>
    <row r="31" spans="1:28" s="33" customFormat="1">
      <c r="A31" s="20" t="s">
        <v>64</v>
      </c>
      <c r="B31" s="20">
        <f>-1.910221+1.823454</f>
        <v>-8.6767000000000039E-2</v>
      </c>
      <c r="C31" s="20">
        <f>-1.024052+0.89363</f>
        <v>-0.13042199999999993</v>
      </c>
      <c r="D31" s="20">
        <f>-1.095-E31-F31-G31</f>
        <v>-0.52074699999999996</v>
      </c>
      <c r="E31" s="20">
        <f>0.898346-1.176642</f>
        <v>-0.27829599999999999</v>
      </c>
      <c r="F31" s="20">
        <f>-0.609586+0.488517</f>
        <v>-0.12106899999999998</v>
      </c>
      <c r="G31" s="20">
        <f>0.427763-0.602651</f>
        <v>-0.17488800000000004</v>
      </c>
      <c r="H31" s="20">
        <f>-0.911-I31-J31-K31</f>
        <v>-0.65953799999999974</v>
      </c>
      <c r="I31" s="20">
        <f>2.019234-2.009806</f>
        <v>9.4279999999997699E-3</v>
      </c>
      <c r="J31" s="20">
        <f>0.561703-0.574775</f>
        <v>-1.3072000000000084E-2</v>
      </c>
      <c r="K31" s="20">
        <f>-0.593448+0.34563</f>
        <v>-0.24781799999999998</v>
      </c>
      <c r="L31" s="20">
        <f>-3.102-M31-N31-O31</f>
        <v>-2.705025</v>
      </c>
      <c r="M31" s="20">
        <f>2.11485-2.230946</f>
        <v>-0.11609599999999975</v>
      </c>
      <c r="N31" s="20">
        <f>0.532716-0.668165</f>
        <v>-0.13544900000000004</v>
      </c>
      <c r="O31" s="20">
        <f>-0.498515+0.353085</f>
        <v>-0.14543</v>
      </c>
      <c r="P31" s="20">
        <v>0</v>
      </c>
      <c r="Q31" s="20">
        <v>0</v>
      </c>
      <c r="R31" s="20">
        <v>0</v>
      </c>
      <c r="S31" s="20">
        <f>0.518586-0.526</f>
        <v>-7.4140000000000317E-3</v>
      </c>
      <c r="T31" s="20">
        <v>0</v>
      </c>
      <c r="U31" s="20">
        <v>0</v>
      </c>
      <c r="V31" s="20">
        <v>0</v>
      </c>
      <c r="W31" s="20">
        <v>0</v>
      </c>
    </row>
    <row r="32" spans="1:28" s="33" customFormat="1">
      <c r="A32" s="20" t="s">
        <v>65</v>
      </c>
      <c r="B32" s="20">
        <f>-5.628482-0.236692+0.243551+0.13186+0.69182+3.690658-0.092605+0.3440909-1.224432</f>
        <v>-2.0802311000000002</v>
      </c>
      <c r="C32" s="20">
        <f>-17.217029-0.113079-5.104949-0.009519+5.417688-0.090146+0.14715+0.000905</f>
        <v>-16.968979000000001</v>
      </c>
      <c r="D32" s="20">
        <f>54.496-0.475+2.704-20.255+0.075-E32-F32-G32</f>
        <v>-5.7444609999999958</v>
      </c>
      <c r="E32" s="20">
        <f>-1.173679+0.096381-0.000208+0.644054+0.009488+4.914253+1.39627-0.31189+0.007901</f>
        <v>5.5825700000000005</v>
      </c>
      <c r="F32" s="20">
        <f>43.573129+0.097524-0.28219+0.639059+0.219151-7.062184+5.534605+0.107274+0.799258</f>
        <v>43.625625999999997</v>
      </c>
      <c r="G32" s="20">
        <f>-0.920117-1.145122+0.001184-1.963058+0.19908-2.95173-0.10854+0.15551-0.185942</f>
        <v>-6.9187349999999999</v>
      </c>
      <c r="H32" s="20">
        <f>-9.264+0.174+0.711-0.331+0.566-I32-J32-K32</f>
        <v>15.911598</v>
      </c>
      <c r="I32" s="20">
        <f>14.989666-0.116196+0.000288+0.227276+0.159364-3.236877+0.025877-0.107243+0.234434</f>
        <v>12.176588999999998</v>
      </c>
      <c r="J32" s="20">
        <f>-6.436885+0.105159-0.208286-0.119468+1.183534-3.252605-0.353566-1.129112-0.064669</f>
        <v>-10.275898</v>
      </c>
      <c r="K32" s="20">
        <f>-22.795454-0.079922+0.307435-1.220857-0.624234-2.140908+0.320021+0.256123+0.021507</f>
        <v>-25.956288999999998</v>
      </c>
      <c r="L32" s="20">
        <f>-13.754+0.188-0.835+0.204-0.391-M32-N32-O32</f>
        <v>28.859431999999998</v>
      </c>
      <c r="M32" s="20">
        <f>-15.271474+0.11276-0.970737+0.20705+0.024002+9.49052-0.070198-0.012996</f>
        <v>-6.4910730000000001</v>
      </c>
      <c r="N32" s="20">
        <f>-7.434205-0.320919-0.982639+0.736522+0.252231-9.380804-0.496785+0.006523</f>
        <v>-17.620075999999997</v>
      </c>
      <c r="O32" s="20">
        <f>-11.701405+0.100508-2.038689+0.323653-2.262027-3.088679-0.145487-0.524157</f>
        <v>-19.336282999999998</v>
      </c>
      <c r="P32" s="20">
        <v>0</v>
      </c>
      <c r="Q32" s="20">
        <v>0</v>
      </c>
      <c r="R32" s="20">
        <v>0</v>
      </c>
      <c r="S32" s="20">
        <f>-10.319462+0.560654-0.118028-0.047212+4.347111-0.042899</f>
        <v>-5.6198360000000012</v>
      </c>
      <c r="T32" s="20">
        <v>0</v>
      </c>
      <c r="U32" s="20">
        <v>0</v>
      </c>
      <c r="V32" s="20">
        <v>0</v>
      </c>
      <c r="W32" s="20">
        <v>0</v>
      </c>
    </row>
    <row r="33" spans="1:28"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c r="W33" s="20">
        <v>0</v>
      </c>
    </row>
    <row r="34" spans="1:28"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row>
    <row r="35" spans="1:28" s="27" customFormat="1">
      <c r="A35" s="27" t="s">
        <v>67</v>
      </c>
      <c r="B35" s="27">
        <v>18.465774</v>
      </c>
      <c r="C35" s="27">
        <v>2.1211359999999999</v>
      </c>
      <c r="D35" s="27">
        <f>100.385-E35-F35-G35</f>
        <v>9.5525650000000049</v>
      </c>
      <c r="E35" s="27">
        <v>18.010524</v>
      </c>
      <c r="F35" s="27">
        <v>64.034684999999996</v>
      </c>
      <c r="G35" s="27">
        <v>8.7872260000000004</v>
      </c>
      <c r="H35" s="27">
        <f>44.089-I35-J35-K35</f>
        <v>24.181528</v>
      </c>
      <c r="I35" s="27">
        <v>19.933049</v>
      </c>
      <c r="J35" s="27">
        <v>12.498053000000001</v>
      </c>
      <c r="K35" s="27">
        <v>-12.523630000000001</v>
      </c>
      <c r="L35" s="27">
        <f>34.067-M35-N35-O35</f>
        <v>38.112092000000004</v>
      </c>
      <c r="M35" s="27">
        <v>4.58385</v>
      </c>
      <c r="N35" s="27">
        <v>-2.2501370000000001</v>
      </c>
      <c r="O35" s="27">
        <v>-6.3788049999999998</v>
      </c>
      <c r="P35" s="27">
        <f>28.016-Q35-R35-S35</f>
        <v>18.599999999999998</v>
      </c>
      <c r="Q35" s="27">
        <f>9.416-S35-R35</f>
        <v>6.1060000000000025</v>
      </c>
      <c r="R35" s="27">
        <v>5.794999999999999</v>
      </c>
      <c r="S35" s="27">
        <v>-2.4850000000000008</v>
      </c>
      <c r="T35" s="27">
        <v>1.4390000000000014</v>
      </c>
      <c r="U35" s="27">
        <v>4.468</v>
      </c>
      <c r="V35" s="27">
        <v>6.4009999999999998</v>
      </c>
      <c r="W35" s="27">
        <v>1.9150000000000007</v>
      </c>
    </row>
    <row r="36" spans="1:28" s="33" customFormat="1">
      <c r="A36" s="20" t="s">
        <v>68</v>
      </c>
      <c r="B36" s="29">
        <v>-6.23583</v>
      </c>
      <c r="C36" s="29">
        <v>-4.2677569999999996</v>
      </c>
      <c r="D36" s="29">
        <f>-25.124-E36-F36-G36</f>
        <v>-8.9215579999999974</v>
      </c>
      <c r="E36" s="29">
        <v>-4.489357</v>
      </c>
      <c r="F36" s="29">
        <v>-6.5265000000000004</v>
      </c>
      <c r="G36" s="29">
        <v>-5.186585</v>
      </c>
      <c r="H36" s="29">
        <f>-34.639-I36-J36-K36</f>
        <v>-15.404108000000004</v>
      </c>
      <c r="I36" s="29">
        <v>-8.6560179999999995</v>
      </c>
      <c r="J36" s="29">
        <v>-7.9253689999999999</v>
      </c>
      <c r="K36" s="29">
        <v>-2.653505</v>
      </c>
      <c r="L36" s="29">
        <f>-41.406-M36-N36-O36</f>
        <v>-9.0375540000000001</v>
      </c>
      <c r="M36" s="29">
        <f>-14.971947</f>
        <v>-14.971947</v>
      </c>
      <c r="N36" s="29">
        <v>-8.7856830000000006</v>
      </c>
      <c r="O36" s="29">
        <v>-8.6108159999999998</v>
      </c>
      <c r="P36" s="29">
        <f>-37.335-Q36-R36-S36</f>
        <v>-18.249000000000002</v>
      </c>
      <c r="Q36" s="29">
        <f>-19.086-S36-R36</f>
        <v>-4.2389999999999972</v>
      </c>
      <c r="R36" s="29">
        <f>-11.742</f>
        <v>-11.742000000000001</v>
      </c>
      <c r="S36" s="29">
        <v>-3.105</v>
      </c>
      <c r="T36" s="29">
        <v>-4.1029999999999998</v>
      </c>
      <c r="U36" s="29">
        <v>-4.6909999999999998</v>
      </c>
      <c r="V36" s="29">
        <f>-13.321</f>
        <v>-13.321</v>
      </c>
      <c r="W36" s="29">
        <v>-1.843</v>
      </c>
    </row>
    <row r="37" spans="1:28" s="27" customFormat="1">
      <c r="A37" s="27" t="s">
        <v>69</v>
      </c>
      <c r="B37" s="27">
        <f t="shared" ref="B37:W37" si="24">+B35+B36</f>
        <v>12.229944</v>
      </c>
      <c r="C37" s="27">
        <f t="shared" si="24"/>
        <v>-2.1466209999999997</v>
      </c>
      <c r="D37" s="27">
        <f t="shared" si="24"/>
        <v>0.63100700000000742</v>
      </c>
      <c r="E37" s="27">
        <f t="shared" si="24"/>
        <v>13.521167</v>
      </c>
      <c r="F37" s="27">
        <f t="shared" si="24"/>
        <v>57.508184999999997</v>
      </c>
      <c r="G37" s="27">
        <f t="shared" si="24"/>
        <v>3.6006410000000004</v>
      </c>
      <c r="H37" s="27">
        <f t="shared" si="24"/>
        <v>8.7774199999999958</v>
      </c>
      <c r="I37" s="27">
        <f t="shared" si="24"/>
        <v>11.277031000000001</v>
      </c>
      <c r="J37" s="27">
        <f t="shared" si="24"/>
        <v>4.5726840000000006</v>
      </c>
      <c r="K37" s="27">
        <f t="shared" si="24"/>
        <v>-15.177135</v>
      </c>
      <c r="L37" s="27">
        <f t="shared" si="24"/>
        <v>29.074538000000004</v>
      </c>
      <c r="M37" s="27">
        <f t="shared" si="24"/>
        <v>-10.388097</v>
      </c>
      <c r="N37" s="27">
        <f t="shared" si="24"/>
        <v>-11.035820000000001</v>
      </c>
      <c r="O37" s="27">
        <f t="shared" si="24"/>
        <v>-14.989621</v>
      </c>
      <c r="P37" s="27">
        <f t="shared" si="24"/>
        <v>0.35099999999999554</v>
      </c>
      <c r="Q37" s="27">
        <f t="shared" si="24"/>
        <v>1.8670000000000053</v>
      </c>
      <c r="R37" s="27">
        <f t="shared" si="24"/>
        <v>-5.9470000000000018</v>
      </c>
      <c r="S37" s="27">
        <f t="shared" si="24"/>
        <v>-5.5900000000000007</v>
      </c>
      <c r="T37" s="27">
        <f t="shared" si="24"/>
        <v>-2.6639999999999984</v>
      </c>
      <c r="U37" s="27">
        <f t="shared" si="24"/>
        <v>-0.22299999999999986</v>
      </c>
      <c r="V37" s="27">
        <f t="shared" si="24"/>
        <v>-6.92</v>
      </c>
      <c r="W37" s="27">
        <f t="shared" si="24"/>
        <v>7.200000000000073E-2</v>
      </c>
    </row>
    <row r="38" spans="1:28">
      <c r="Y38" s="76"/>
      <c r="Z38" s="33"/>
      <c r="AA38" s="33"/>
      <c r="AB38" s="33"/>
    </row>
    <row r="39" spans="1:28" s="35" customFormat="1">
      <c r="A39" s="34" t="s">
        <v>70</v>
      </c>
      <c r="B39" s="20">
        <v>0</v>
      </c>
      <c r="C39" s="20">
        <v>0</v>
      </c>
      <c r="D39" s="20">
        <f>E39</f>
        <v>0</v>
      </c>
      <c r="E39" s="20">
        <f>F39</f>
        <v>0</v>
      </c>
      <c r="F39" s="20">
        <f>G39-65.5</f>
        <v>0</v>
      </c>
      <c r="G39" s="20">
        <f>H39+38.5</f>
        <v>65.5</v>
      </c>
      <c r="H39" s="20">
        <v>27</v>
      </c>
      <c r="I39" s="20">
        <f>J39-26</f>
        <v>30</v>
      </c>
      <c r="J39" s="20">
        <f>K39-0.048916+18</f>
        <v>56</v>
      </c>
      <c r="K39" s="20">
        <f>L39+13-2.951084</f>
        <v>38.048915999999998</v>
      </c>
      <c r="L39" s="20">
        <v>28</v>
      </c>
      <c r="M39" s="20">
        <f>N39+12-3</f>
        <v>19.5</v>
      </c>
      <c r="N39" s="20">
        <f>15-4.5</f>
        <v>10.5</v>
      </c>
      <c r="O39" s="20">
        <v>0</v>
      </c>
      <c r="P39" s="20">
        <v>0</v>
      </c>
      <c r="Q39" s="20">
        <v>0</v>
      </c>
      <c r="R39" s="20">
        <v>0</v>
      </c>
      <c r="S39" s="20">
        <v>0</v>
      </c>
      <c r="T39" s="20">
        <v>0</v>
      </c>
      <c r="U39" s="20"/>
      <c r="V39" s="20"/>
      <c r="W39" s="20"/>
      <c r="X39" s="33"/>
      <c r="Y39" s="33"/>
      <c r="Z39" s="33"/>
    </row>
    <row r="40" spans="1:28" s="35" customFormat="1">
      <c r="A40" s="34" t="s">
        <v>71</v>
      </c>
      <c r="B40" s="20">
        <f>+C40-1.15-0.316364</f>
        <v>446.48582099999999</v>
      </c>
      <c r="C40" s="20">
        <f>+D40-1.15-0.319815</f>
        <v>447.95218499999999</v>
      </c>
      <c r="D40" s="20">
        <f>446.2+3.222</f>
        <v>449.42199999999997</v>
      </c>
      <c r="E40" s="20">
        <f>F40-1.15-0.480187</f>
        <v>447.86937700000004</v>
      </c>
      <c r="F40" s="20">
        <f>G40-1.15-0.293425</f>
        <v>449.49956400000002</v>
      </c>
      <c r="G40" s="20">
        <f>H40-1.15-0.289011</f>
        <v>450.94298900000001</v>
      </c>
      <c r="H40" s="20">
        <f>450.8+1.582</f>
        <v>452.38200000000001</v>
      </c>
      <c r="I40" s="20">
        <f>J40-1.15-0.566588</f>
        <v>453.33764100000002</v>
      </c>
      <c r="J40" s="20">
        <f>K40-1.15-0.982464</f>
        <v>455.05422900000002</v>
      </c>
      <c r="K40" s="20">
        <f>L40-1.15-0.876307</f>
        <v>457.18669299999999</v>
      </c>
      <c r="L40" s="20">
        <f>455.4+3.813</f>
        <v>459.21299999999997</v>
      </c>
      <c r="M40" s="20">
        <f>N40-1.147493-0.805499</f>
        <v>461.17276499999997</v>
      </c>
      <c r="N40" s="20">
        <f>O40-1.15-0.792434</f>
        <v>463.12575699999996</v>
      </c>
      <c r="O40" s="20">
        <f>P40-1.152507-0.780302</f>
        <v>465.06819099999996</v>
      </c>
      <c r="P40" s="20">
        <f>460+7.001</f>
        <v>467.00099999999998</v>
      </c>
      <c r="Q40" s="20">
        <v>430</v>
      </c>
      <c r="R40" s="20">
        <v>430</v>
      </c>
      <c r="S40" s="20">
        <v>0</v>
      </c>
      <c r="T40" s="20">
        <v>0</v>
      </c>
      <c r="U40" s="20"/>
      <c r="V40" s="20"/>
      <c r="W40" s="20"/>
      <c r="Y40" s="33"/>
      <c r="Z40" s="33"/>
    </row>
    <row r="41" spans="1:28" s="35" customFormat="1">
      <c r="A41" s="34" t="s">
        <v>72</v>
      </c>
      <c r="B41" s="20">
        <f t="shared" ref="B41:P41" si="25">B39+B40+110</f>
        <v>556.48582099999999</v>
      </c>
      <c r="C41" s="20">
        <f t="shared" si="25"/>
        <v>557.95218499999999</v>
      </c>
      <c r="D41" s="20">
        <f t="shared" si="25"/>
        <v>559.42200000000003</v>
      </c>
      <c r="E41" s="20">
        <f t="shared" si="25"/>
        <v>557.86937699999999</v>
      </c>
      <c r="F41" s="20">
        <f t="shared" si="25"/>
        <v>559.49956399999996</v>
      </c>
      <c r="G41" s="20">
        <f t="shared" si="25"/>
        <v>626.44298900000001</v>
      </c>
      <c r="H41" s="20">
        <f t="shared" si="25"/>
        <v>589.38200000000006</v>
      </c>
      <c r="I41" s="20">
        <f t="shared" si="25"/>
        <v>593.33764100000008</v>
      </c>
      <c r="J41" s="20">
        <f t="shared" si="25"/>
        <v>621.05422900000008</v>
      </c>
      <c r="K41" s="20">
        <f t="shared" si="25"/>
        <v>605.23560900000007</v>
      </c>
      <c r="L41" s="20">
        <f t="shared" si="25"/>
        <v>597.21299999999997</v>
      </c>
      <c r="M41" s="20">
        <f t="shared" si="25"/>
        <v>590.67276500000003</v>
      </c>
      <c r="N41" s="20">
        <f t="shared" si="25"/>
        <v>583.62575700000002</v>
      </c>
      <c r="O41" s="20">
        <f t="shared" si="25"/>
        <v>575.06819099999996</v>
      </c>
      <c r="P41" s="20">
        <f t="shared" si="25"/>
        <v>577.00099999999998</v>
      </c>
      <c r="Q41" s="20">
        <f>Q39+Q40+140</f>
        <v>570</v>
      </c>
      <c r="R41" s="20">
        <f>R39+R40+140</f>
        <v>570</v>
      </c>
      <c r="S41" s="20">
        <v>0</v>
      </c>
      <c r="T41" s="20">
        <v>0</v>
      </c>
      <c r="U41" s="20"/>
      <c r="V41" s="20"/>
      <c r="W41" s="20"/>
      <c r="Y41" s="33"/>
      <c r="Z41" s="33"/>
    </row>
    <row r="42" spans="1:28" s="35" customFormat="1">
      <c r="A42" s="34" t="s">
        <v>73</v>
      </c>
      <c r="B42" s="36">
        <f t="shared" ref="B42:M42" si="26">C42</f>
        <v>325</v>
      </c>
      <c r="C42" s="36">
        <f t="shared" si="26"/>
        <v>325</v>
      </c>
      <c r="D42" s="36">
        <f t="shared" si="26"/>
        <v>325</v>
      </c>
      <c r="E42" s="36">
        <f t="shared" si="26"/>
        <v>325</v>
      </c>
      <c r="F42" s="36">
        <f t="shared" si="26"/>
        <v>325</v>
      </c>
      <c r="G42" s="36">
        <f t="shared" si="26"/>
        <v>325</v>
      </c>
      <c r="H42" s="36">
        <f t="shared" si="26"/>
        <v>325</v>
      </c>
      <c r="I42" s="36">
        <f t="shared" si="26"/>
        <v>325</v>
      </c>
      <c r="J42" s="36">
        <f t="shared" si="26"/>
        <v>325</v>
      </c>
      <c r="K42" s="36">
        <f t="shared" si="26"/>
        <v>325</v>
      </c>
      <c r="L42" s="36">
        <f t="shared" si="26"/>
        <v>325</v>
      </c>
      <c r="M42" s="36">
        <f t="shared" si="26"/>
        <v>325</v>
      </c>
      <c r="N42" s="36">
        <f>110+215</f>
        <v>325</v>
      </c>
      <c r="O42" s="36">
        <f>110+215</f>
        <v>325</v>
      </c>
      <c r="P42" s="36">
        <f>110+215</f>
        <v>325</v>
      </c>
      <c r="Q42" s="36">
        <f>110+215</f>
        <v>325</v>
      </c>
      <c r="R42" s="36">
        <f>110+215</f>
        <v>325</v>
      </c>
      <c r="S42" s="36">
        <v>0</v>
      </c>
      <c r="T42" s="36">
        <v>0</v>
      </c>
      <c r="U42" s="36"/>
      <c r="V42" s="36"/>
      <c r="W42" s="36"/>
      <c r="Z42" s="33"/>
    </row>
    <row r="43" spans="1:28">
      <c r="B43" s="35"/>
      <c r="C43" s="35"/>
      <c r="D43" s="35"/>
      <c r="E43" s="35"/>
      <c r="F43" s="35"/>
      <c r="G43" s="35"/>
      <c r="H43" s="35"/>
      <c r="I43" s="35"/>
      <c r="J43" s="35"/>
      <c r="K43" s="35"/>
      <c r="L43" s="35"/>
      <c r="M43" s="35"/>
      <c r="N43" s="35"/>
      <c r="O43" s="35"/>
      <c r="P43" s="35"/>
      <c r="Q43" s="35"/>
      <c r="R43" s="35"/>
      <c r="S43" s="35"/>
      <c r="T43" s="35"/>
      <c r="Z43" s="33"/>
    </row>
    <row r="44" spans="1:28">
      <c r="A44" s="19" t="s">
        <v>74</v>
      </c>
      <c r="B44" s="28">
        <v>60.534899000000003</v>
      </c>
      <c r="C44" s="28">
        <v>49.759416000000002</v>
      </c>
      <c r="D44" s="28">
        <v>53.228000000000002</v>
      </c>
      <c r="E44" s="28">
        <v>53.579695000000001</v>
      </c>
      <c r="F44" s="28">
        <v>41.632257000000003</v>
      </c>
      <c r="G44" s="28">
        <v>50.881028999999998</v>
      </c>
      <c r="H44" s="28">
        <v>9.8680000000000003</v>
      </c>
      <c r="I44" s="28">
        <v>11.397567</v>
      </c>
      <c r="J44" s="28">
        <v>26.146024000000001</v>
      </c>
      <c r="K44" s="28">
        <v>5.268408</v>
      </c>
      <c r="L44" s="28">
        <v>36.969000000000001</v>
      </c>
      <c r="M44" s="28">
        <v>3.150722</v>
      </c>
      <c r="N44" s="28">
        <v>6.0620459999999996</v>
      </c>
      <c r="O44" s="28">
        <v>7.2906170000000001</v>
      </c>
      <c r="P44" s="28">
        <v>23.875</v>
      </c>
      <c r="Q44" s="28"/>
      <c r="R44" s="28">
        <v>5</v>
      </c>
      <c r="S44" s="28">
        <v>0</v>
      </c>
      <c r="T44" s="28">
        <v>0</v>
      </c>
      <c r="U44" s="57"/>
      <c r="V44" s="57"/>
      <c r="W44" s="57"/>
    </row>
    <row r="46" spans="1:28">
      <c r="A46" s="14" t="s">
        <v>75</v>
      </c>
      <c r="B46" s="33">
        <f t="shared" ref="B46:M46" si="27">SUM(B12:E12)</f>
        <v>710.21791699999994</v>
      </c>
      <c r="C46" s="33">
        <f t="shared" si="27"/>
        <v>678.70727099999999</v>
      </c>
      <c r="D46" s="33">
        <f t="shared" si="27"/>
        <v>715.33300000000008</v>
      </c>
      <c r="E46" s="33">
        <f t="shared" si="27"/>
        <v>751.81208599999991</v>
      </c>
      <c r="F46" s="33">
        <f t="shared" si="27"/>
        <v>778.98890799999981</v>
      </c>
      <c r="G46" s="33">
        <f t="shared" si="27"/>
        <v>837.26518799999985</v>
      </c>
      <c r="H46" s="33">
        <f t="shared" si="27"/>
        <v>834.36099999999988</v>
      </c>
      <c r="I46" s="33">
        <f t="shared" si="27"/>
        <v>830.21400699999992</v>
      </c>
      <c r="J46" s="33">
        <f t="shared" si="27"/>
        <v>834.93648399999995</v>
      </c>
      <c r="K46" s="33">
        <f t="shared" si="27"/>
        <v>818.34199600000011</v>
      </c>
      <c r="L46" s="33">
        <f t="shared" si="27"/>
        <v>803.25800000000004</v>
      </c>
      <c r="M46" s="33">
        <f t="shared" si="27"/>
        <v>775.34674999999993</v>
      </c>
      <c r="N46" s="58">
        <f>O46/O47*N47</f>
        <v>747.32376271186433</v>
      </c>
      <c r="O46" s="51">
        <v>758</v>
      </c>
      <c r="P46" s="51">
        <v>759</v>
      </c>
      <c r="Q46" s="51">
        <v>747</v>
      </c>
      <c r="R46" s="33">
        <f>SUM(R12:U12)</f>
        <v>365.81200000000001</v>
      </c>
      <c r="S46" s="33">
        <f>SUM(S12:V12)</f>
        <v>360.65800000000002</v>
      </c>
      <c r="T46" s="33">
        <f>SUM(T12:W12)</f>
        <v>345.95699999999999</v>
      </c>
      <c r="U46" s="33">
        <f>SUM(U12:W12)</f>
        <v>266.31700000000001</v>
      </c>
      <c r="V46" s="33">
        <f>SUM(V12:W12)</f>
        <v>186.54500000000002</v>
      </c>
      <c r="X46" s="98"/>
    </row>
    <row r="47" spans="1:28">
      <c r="A47" s="14" t="s">
        <v>76</v>
      </c>
      <c r="B47" s="58">
        <f t="shared" ref="B47:C47" si="28">B27</f>
        <v>110.389</v>
      </c>
      <c r="C47" s="58">
        <f t="shared" si="28"/>
        <v>113.307</v>
      </c>
      <c r="D47" s="58">
        <f t="shared" ref="D47:E47" si="29">D27</f>
        <v>122.85899999999999</v>
      </c>
      <c r="E47" s="58">
        <f t="shared" si="29"/>
        <v>128.48400000000001</v>
      </c>
      <c r="F47" s="58">
        <f t="shared" ref="F47:G47" si="30">F27</f>
        <v>125.03</v>
      </c>
      <c r="G47" s="58">
        <f t="shared" si="30"/>
        <v>130.53299999999999</v>
      </c>
      <c r="H47" s="58">
        <f t="shared" ref="H47:M47" si="31">H27</f>
        <v>118.596</v>
      </c>
      <c r="I47" s="58">
        <f t="shared" si="31"/>
        <v>118.887</v>
      </c>
      <c r="J47" s="58">
        <f t="shared" si="31"/>
        <v>124.39400000000001</v>
      </c>
      <c r="K47" s="58">
        <f t="shared" si="31"/>
        <v>115.57</v>
      </c>
      <c r="L47" s="58">
        <f t="shared" si="31"/>
        <v>110.767</v>
      </c>
      <c r="M47" s="58">
        <f t="shared" si="31"/>
        <v>112.61799999999999</v>
      </c>
      <c r="N47" s="51">
        <v>116.33799999999999</v>
      </c>
      <c r="O47" s="51">
        <v>118</v>
      </c>
      <c r="P47" s="51">
        <v>118</v>
      </c>
      <c r="Q47" s="51">
        <v>117.6</v>
      </c>
      <c r="R47" s="33">
        <f>+R27</f>
        <v>38.635411089815818</v>
      </c>
      <c r="S47" s="33">
        <f>+S27</f>
        <v>44.413823030949594</v>
      </c>
      <c r="T47" s="33">
        <f>+T27</f>
        <v>46.479806652916679</v>
      </c>
      <c r="U47" s="33"/>
      <c r="V47" s="33"/>
    </row>
    <row r="48" spans="1:28">
      <c r="A48" s="14" t="s">
        <v>77</v>
      </c>
      <c r="B48" s="58">
        <f t="shared" ref="B48:L48" si="32">SUM(B37:E37)</f>
        <v>24.235497000000009</v>
      </c>
      <c r="C48" s="58">
        <f t="shared" si="32"/>
        <v>69.513738000000004</v>
      </c>
      <c r="D48" s="58">
        <f t="shared" si="32"/>
        <v>75.260999999999996</v>
      </c>
      <c r="E48" s="58">
        <f t="shared" si="32"/>
        <v>83.407412999999991</v>
      </c>
      <c r="F48" s="58">
        <f t="shared" si="32"/>
        <v>81.163276999999994</v>
      </c>
      <c r="G48" s="58">
        <f t="shared" si="32"/>
        <v>28.227775999999999</v>
      </c>
      <c r="H48" s="58">
        <f t="shared" si="32"/>
        <v>9.4499999999999957</v>
      </c>
      <c r="I48" s="58">
        <f t="shared" si="32"/>
        <v>29.747118000000007</v>
      </c>
      <c r="J48" s="58">
        <f t="shared" si="32"/>
        <v>8.0819900000000064</v>
      </c>
      <c r="K48" s="58">
        <f t="shared" si="32"/>
        <v>-7.526513999999997</v>
      </c>
      <c r="L48" s="58">
        <f t="shared" si="32"/>
        <v>-7.3389999999999986</v>
      </c>
      <c r="M48" s="58">
        <f>N48+M37-Q37</f>
        <v>9.4335763659867986</v>
      </c>
      <c r="N48" s="58">
        <f>O48+N37-R37</f>
        <v>21.688673365986805</v>
      </c>
      <c r="O48" s="58">
        <f>P48+O37-S37</f>
        <v>26.777493365986803</v>
      </c>
      <c r="P48" s="51">
        <f>Q48/Q47*P47</f>
        <v>36.177114365986803</v>
      </c>
      <c r="Q48" s="51">
        <v>36.054480080000403</v>
      </c>
      <c r="R48" s="33">
        <f>+SUM(R37:U37)</f>
        <v>-14.423999999999999</v>
      </c>
      <c r="S48" s="33">
        <f>+SUM(S37:V37)</f>
        <v>-15.397</v>
      </c>
      <c r="T48" s="33">
        <f>+SUM(T37:W37)</f>
        <v>-9.7349999999999977</v>
      </c>
      <c r="U48" s="33"/>
      <c r="V48" s="33"/>
    </row>
    <row r="50" spans="1:23" s="37" customFormat="1">
      <c r="A50" s="37" t="s">
        <v>78</v>
      </c>
      <c r="B50" s="37">
        <f t="shared" ref="B50" si="33">+SUM(B39:B40)/B47</f>
        <v>4.0446586254065169</v>
      </c>
      <c r="C50" s="37">
        <f t="shared" ref="C50:D50" si="34">+SUM(C39:C40)/C47</f>
        <v>3.9534378723291588</v>
      </c>
      <c r="D50" s="37">
        <f t="shared" si="34"/>
        <v>3.6580307506979546</v>
      </c>
      <c r="E50" s="37">
        <f t="shared" ref="E50:F50" si="35">+SUM(E39:E40)/E47</f>
        <v>3.485798830982846</v>
      </c>
      <c r="F50" s="37">
        <f t="shared" si="35"/>
        <v>3.5951336799168203</v>
      </c>
      <c r="G50" s="37">
        <f t="shared" ref="G50:H50" si="36">+SUM(G39:G40)/G47</f>
        <v>3.9564170669485881</v>
      </c>
      <c r="H50" s="37">
        <f t="shared" si="36"/>
        <v>4.042143073965395</v>
      </c>
      <c r="I50" s="37">
        <f t="shared" ref="I50:J50" si="37">+SUM(I39:I40)/I47</f>
        <v>4.0655213858537937</v>
      </c>
      <c r="J50" s="37">
        <f t="shared" si="37"/>
        <v>4.1083511182211359</v>
      </c>
      <c r="K50" s="37">
        <f t="shared" ref="K50:L50" si="38">+SUM(K39:K40)/K47</f>
        <v>4.2851571255516143</v>
      </c>
      <c r="L50" s="37">
        <f t="shared" si="38"/>
        <v>4.3985392761381998</v>
      </c>
      <c r="M50" s="37">
        <f t="shared" ref="M50:R50" si="39">+SUM(M39:M40)/M47</f>
        <v>4.2681699639489246</v>
      </c>
      <c r="N50" s="37">
        <f t="shared" si="39"/>
        <v>4.0711182674620501</v>
      </c>
      <c r="O50" s="37">
        <f t="shared" si="39"/>
        <v>3.9412558559322028</v>
      </c>
      <c r="P50" s="37">
        <f t="shared" si="39"/>
        <v>3.9576355932203389</v>
      </c>
      <c r="Q50" s="37">
        <f t="shared" si="39"/>
        <v>3.656462585034014</v>
      </c>
      <c r="R50" s="37">
        <f t="shared" si="39"/>
        <v>11.129686157612717</v>
      </c>
    </row>
    <row r="51" spans="1:23" s="37" customFormat="1">
      <c r="A51" s="37" t="s">
        <v>79</v>
      </c>
      <c r="B51" s="37">
        <f t="shared" ref="B51" si="40">+B41/B47</f>
        <v>5.0411347235684714</v>
      </c>
      <c r="C51" s="37">
        <f t="shared" ref="C51:D51" si="41">+C41/C47</f>
        <v>4.9242516790666064</v>
      </c>
      <c r="D51" s="37">
        <f t="shared" si="41"/>
        <v>4.5533660537689551</v>
      </c>
      <c r="E51" s="37">
        <f t="shared" ref="E51:F51" si="42">+E41/E47</f>
        <v>4.3419365601942648</v>
      </c>
      <c r="F51" s="37">
        <f t="shared" si="42"/>
        <v>4.4749225305926572</v>
      </c>
      <c r="G51" s="37">
        <f t="shared" ref="G51:H51" si="43">+G41/G47</f>
        <v>4.7991158480997145</v>
      </c>
      <c r="H51" s="37">
        <f t="shared" si="43"/>
        <v>4.9696617086579655</v>
      </c>
      <c r="I51" s="37">
        <f t="shared" ref="I51:J51" si="44">+I41/I47</f>
        <v>4.9907697309209595</v>
      </c>
      <c r="J51" s="37">
        <f t="shared" si="44"/>
        <v>4.9926381417110157</v>
      </c>
      <c r="K51" s="37">
        <f t="shared" ref="K51:L51" si="45">+K41/K47</f>
        <v>5.2369612269620154</v>
      </c>
      <c r="L51" s="37">
        <f t="shared" si="45"/>
        <v>5.3916148311320153</v>
      </c>
      <c r="M51" s="37">
        <f t="shared" ref="M51:R51" si="46">+M41/M47</f>
        <v>5.2449232360723865</v>
      </c>
      <c r="N51" s="37">
        <f t="shared" si="46"/>
        <v>5.0166390775155154</v>
      </c>
      <c r="O51" s="37">
        <f t="shared" si="46"/>
        <v>4.8734592457627111</v>
      </c>
      <c r="P51" s="37">
        <f t="shared" si="46"/>
        <v>4.8898389830508471</v>
      </c>
      <c r="Q51" s="37">
        <f t="shared" si="46"/>
        <v>4.8469387755102042</v>
      </c>
      <c r="R51" s="37">
        <f t="shared" si="46"/>
        <v>14.753304906602905</v>
      </c>
    </row>
    <row r="52" spans="1:23" s="37" customFormat="1">
      <c r="A52" s="37" t="s">
        <v>80</v>
      </c>
      <c r="B52" s="37">
        <f t="shared" ref="B52" si="47">+(B41-B44)/B47</f>
        <v>4.4927567239489443</v>
      </c>
      <c r="C52" s="37">
        <f t="shared" ref="C52:D52" si="48">+(C41-C44)/C47</f>
        <v>4.4850959693575856</v>
      </c>
      <c r="D52" s="37">
        <f t="shared" si="48"/>
        <v>4.1201214400247439</v>
      </c>
      <c r="E52" s="37">
        <f t="shared" ref="E52:F52" si="49">+(E41-E44)/E47</f>
        <v>3.924922029202079</v>
      </c>
      <c r="F52" s="37">
        <f t="shared" si="49"/>
        <v>4.1419443893465564</v>
      </c>
      <c r="G52" s="37">
        <f t="shared" ref="G52:H52" si="50">+(G41-G44)/G47</f>
        <v>4.4093214742632139</v>
      </c>
      <c r="H52" s="37">
        <f t="shared" si="50"/>
        <v>4.886454855138453</v>
      </c>
      <c r="I52" s="37">
        <f t="shared" ref="I52:J52" si="51">+(I41-I44)/I47</f>
        <v>4.8949008217887577</v>
      </c>
      <c r="J52" s="37">
        <f t="shared" si="51"/>
        <v>4.7824509622650613</v>
      </c>
      <c r="K52" s="37">
        <f t="shared" ref="K52:L52" si="52">+(K41-K44)/K47</f>
        <v>5.1913749329410752</v>
      </c>
      <c r="L52" s="37">
        <f t="shared" si="52"/>
        <v>5.0578601930177758</v>
      </c>
      <c r="M52" s="37">
        <f t="shared" ref="M52:R52" si="53">+(M41-M44)/M47</f>
        <v>5.2169461631355567</v>
      </c>
      <c r="N52" s="37">
        <f t="shared" si="53"/>
        <v>4.9645318898382307</v>
      </c>
      <c r="O52" s="37">
        <f t="shared" si="53"/>
        <v>4.8116743559322028</v>
      </c>
      <c r="P52" s="37">
        <f t="shared" si="53"/>
        <v>4.687508474576271</v>
      </c>
      <c r="Q52" s="37">
        <f t="shared" si="53"/>
        <v>4.8469387755102042</v>
      </c>
      <c r="R52" s="37">
        <f t="shared" si="53"/>
        <v>14.623889951281827</v>
      </c>
    </row>
    <row r="53" spans="1:23" s="38" customFormat="1">
      <c r="A53" s="38" t="s">
        <v>81</v>
      </c>
      <c r="B53" s="38">
        <f t="shared" ref="B53" si="54">+B48/B41</f>
        <v>4.3550969468456609E-2</v>
      </c>
      <c r="C53" s="38">
        <f t="shared" ref="C53:D53" si="55">+C48/C41</f>
        <v>0.12458726727631689</v>
      </c>
      <c r="D53" s="38">
        <f t="shared" si="55"/>
        <v>0.134533500648884</v>
      </c>
      <c r="E53" s="38">
        <f t="shared" ref="E53:F53" si="56">+E48/E41</f>
        <v>0.14951064969461478</v>
      </c>
      <c r="F53" s="38">
        <f t="shared" si="56"/>
        <v>0.14506405763704938</v>
      </c>
      <c r="G53" s="38">
        <f t="shared" ref="G53:H53" si="57">+G48/G41</f>
        <v>4.5060406925553444E-2</v>
      </c>
      <c r="H53" s="38">
        <f t="shared" si="57"/>
        <v>1.6033743819797677E-2</v>
      </c>
      <c r="I53" s="38">
        <f t="shared" ref="I53:J53" si="58">+I48/I41</f>
        <v>5.0135228147441945E-2</v>
      </c>
      <c r="J53" s="38">
        <f t="shared" si="58"/>
        <v>1.3013340256958472E-2</v>
      </c>
      <c r="K53" s="38">
        <f t="shared" ref="K53:L53" si="59">+K48/K41</f>
        <v>-1.243567610378324E-2</v>
      </c>
      <c r="L53" s="38">
        <f t="shared" si="59"/>
        <v>-1.2288747900665255E-2</v>
      </c>
      <c r="M53" s="38">
        <f t="shared" ref="M53:R53" si="60">+M48/M41</f>
        <v>1.5970901190927263E-2</v>
      </c>
      <c r="N53" s="38">
        <f t="shared" si="60"/>
        <v>3.716195371066669E-2</v>
      </c>
      <c r="O53" s="38">
        <f t="shared" si="60"/>
        <v>4.6564031509763695E-2</v>
      </c>
      <c r="P53" s="38">
        <f t="shared" si="60"/>
        <v>6.269852975295849E-2</v>
      </c>
      <c r="Q53" s="38">
        <f t="shared" si="60"/>
        <v>6.3253473824562104E-2</v>
      </c>
      <c r="R53" s="38">
        <f t="shared" si="60"/>
        <v>-2.5305263157894737E-2</v>
      </c>
    </row>
    <row r="54" spans="1:23" s="38" customFormat="1">
      <c r="A54" s="39" t="s">
        <v>82</v>
      </c>
      <c r="B54" s="40"/>
      <c r="C54" s="40"/>
      <c r="D54" s="40"/>
      <c r="E54" s="40"/>
      <c r="F54" s="40"/>
      <c r="G54" s="40"/>
      <c r="H54" s="40"/>
      <c r="I54" s="40"/>
      <c r="J54" s="40"/>
      <c r="K54" s="40"/>
      <c r="L54" s="40"/>
      <c r="M54" s="40"/>
      <c r="N54" s="40"/>
      <c r="O54" s="40"/>
      <c r="P54" s="40"/>
      <c r="Q54" s="40"/>
      <c r="R54" s="40"/>
      <c r="S54" s="40"/>
      <c r="T54" s="40"/>
      <c r="U54" s="40"/>
      <c r="V54" s="40"/>
      <c r="W54" s="39"/>
    </row>
    <row r="55" spans="1:23" s="38" customFormat="1">
      <c r="A55" s="38" t="s">
        <v>83</v>
      </c>
      <c r="B55" s="41">
        <f t="shared" ref="B55" si="61">IF(B42=0,IF(B54="","","*"&amp;TEXT(B54,"0.0x")),(B41+B42-B44)/B47)</f>
        <v>7.4368906503365375</v>
      </c>
      <c r="C55" s="41">
        <f t="shared" ref="C55:D55" si="62">IF(C42=0,IF(C54="","","*"&amp;TEXT(C54,"0.0x")),(C41+C42-C44)/C47)</f>
        <v>7.3534094892636821</v>
      </c>
      <c r="D55" s="41">
        <f t="shared" si="62"/>
        <v>6.7654302900072452</v>
      </c>
      <c r="E55" s="41">
        <f t="shared" ref="E55:F55" si="63">IF(E42=0,IF(E54="","","*"&amp;TEXT(E54,"0.0x")),(E41+E42-E44)/E47)</f>
        <v>6.4544198655085454</v>
      </c>
      <c r="F55" s="41">
        <f t="shared" si="63"/>
        <v>6.7413205390706228</v>
      </c>
      <c r="G55" s="41">
        <f t="shared" ref="G55:H55" si="64">IF(G42=0,IF(G54="","","*"&amp;TEXT(G54,"0.0x")),(G41+G42-G44)/G47)</f>
        <v>6.8991133276642698</v>
      </c>
      <c r="H55" s="41">
        <f t="shared" si="64"/>
        <v>7.6268508212755908</v>
      </c>
      <c r="I55" s="41">
        <f t="shared" ref="I55:J55" si="65">IF(I42=0,IF(I54="","","*"&amp;TEXT(I54,"0.0x")),(I41+I42-I44)/I47)</f>
        <v>7.6285891140326534</v>
      </c>
      <c r="J55" s="41">
        <f t="shared" si="65"/>
        <v>7.3951171680306125</v>
      </c>
      <c r="K55" s="41">
        <f t="shared" ref="K55:P55" si="66">IF(K42=0,IF(K54="","","*"&amp;TEXT(K54,"0.0x")),(K41+K42-K44)/K47)</f>
        <v>8.0035234143808953</v>
      </c>
      <c r="L55" s="41">
        <f t="shared" si="66"/>
        <v>7.9919470600449589</v>
      </c>
      <c r="M55" s="41">
        <f t="shared" si="66"/>
        <v>8.1028081035003297</v>
      </c>
      <c r="N55" s="41">
        <f t="shared" si="66"/>
        <v>7.758116101359831</v>
      </c>
      <c r="O55" s="41">
        <f t="shared" si="66"/>
        <v>7.5659116440677963</v>
      </c>
      <c r="P55" s="41">
        <f t="shared" si="66"/>
        <v>7.4417457627118644</v>
      </c>
      <c r="Q55" s="41">
        <f t="shared" ref="Q55:V55" si="67">IF(Q42=0,IF(Q54="","","*"&amp;TEXT(Q54,"0.0x")),(Q41+Q42-Q44)/Q47)</f>
        <v>7.6105442176870755</v>
      </c>
      <c r="R55" s="41">
        <f t="shared" si="67"/>
        <v>23.035862047151905</v>
      </c>
      <c r="S55" s="41" t="str">
        <f t="shared" si="67"/>
        <v/>
      </c>
      <c r="T55" s="41" t="str">
        <f t="shared" si="67"/>
        <v/>
      </c>
      <c r="U55" s="41" t="str">
        <f t="shared" si="67"/>
        <v/>
      </c>
      <c r="V55" s="41" t="str">
        <f t="shared" si="67"/>
        <v/>
      </c>
      <c r="W55" s="41" t="str">
        <f>IF(W42=0,IF(W54="","",CONCATENATE("* ",W54,"x")),(W41+W42-W44)/W47)</f>
        <v/>
      </c>
    </row>
    <row r="56" spans="1:23">
      <c r="V56" s="42"/>
    </row>
    <row r="57" spans="1:23" ht="80.25" customHeight="1">
      <c r="A57" s="43" t="s">
        <v>84</v>
      </c>
      <c r="B57" s="44" t="s">
        <v>692</v>
      </c>
      <c r="C57" s="44" t="s">
        <v>629</v>
      </c>
      <c r="D57" s="44" t="s">
        <v>628</v>
      </c>
      <c r="E57" s="44" t="s">
        <v>580</v>
      </c>
      <c r="F57" s="44" t="s">
        <v>571</v>
      </c>
      <c r="G57" s="44" t="s">
        <v>554</v>
      </c>
      <c r="H57" s="44" t="s">
        <v>553</v>
      </c>
      <c r="I57" s="44" t="s">
        <v>552</v>
      </c>
      <c r="J57" s="44" t="s">
        <v>484</v>
      </c>
      <c r="K57" s="44" t="s">
        <v>437</v>
      </c>
      <c r="L57" s="44" t="s">
        <v>440</v>
      </c>
      <c r="M57" s="44" t="s">
        <v>439</v>
      </c>
      <c r="N57" s="44" t="s">
        <v>438</v>
      </c>
      <c r="O57" s="44" t="s">
        <v>274</v>
      </c>
      <c r="P57" s="44" t="s">
        <v>273</v>
      </c>
      <c r="Q57" s="44" t="s">
        <v>160</v>
      </c>
      <c r="R57" s="44" t="s">
        <v>160</v>
      </c>
      <c r="S57" s="44"/>
      <c r="T57" s="44"/>
      <c r="U57" s="44"/>
      <c r="V57" s="44"/>
      <c r="W57" s="44"/>
    </row>
    <row r="58" spans="1:23">
      <c r="A58" s="45"/>
      <c r="B58" s="42"/>
      <c r="C58" s="42"/>
      <c r="D58" s="42"/>
      <c r="E58" s="42"/>
      <c r="F58" s="42"/>
      <c r="G58" s="42"/>
      <c r="H58" s="42"/>
      <c r="I58" s="42"/>
      <c r="J58" s="42"/>
      <c r="K58" s="42"/>
      <c r="L58" s="42"/>
      <c r="M58" s="42"/>
      <c r="N58" s="42"/>
      <c r="O58" s="42"/>
      <c r="P58" s="42"/>
      <c r="Q58" s="42"/>
      <c r="R58" s="42"/>
    </row>
    <row r="59" spans="1:23">
      <c r="A59" s="45"/>
    </row>
  </sheetData>
  <pageMargins left="0.7" right="0.7" top="0.75" bottom="0.75" header="0.3" footer="0.3"/>
  <pageSetup orientation="portrait" r:id="rId1"/>
  <ignoredErrors>
    <ignoredError sqref="R46:V47 Q24:U31" formulaRange="1"/>
  </ignoredErrors>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2:Z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9" width="10.6640625" style="14" customWidth="1"/>
    <col min="20" max="16384" width="9.109375" style="14"/>
  </cols>
  <sheetData>
    <row r="2" spans="1:24">
      <c r="A2" s="13" t="s">
        <v>44</v>
      </c>
      <c r="B2" s="14" t="s">
        <v>211</v>
      </c>
    </row>
    <row r="3" spans="1:24" s="16" customFormat="1">
      <c r="A3" s="15" t="s">
        <v>45</v>
      </c>
      <c r="B3" s="16" t="s">
        <v>210</v>
      </c>
    </row>
    <row r="4" spans="1:24">
      <c r="A4" s="13" t="s">
        <v>2</v>
      </c>
      <c r="B4" s="14" t="s">
        <v>4</v>
      </c>
    </row>
    <row r="5" spans="1:24">
      <c r="A5" s="13" t="s">
        <v>46</v>
      </c>
    </row>
    <row r="6" spans="1:24">
      <c r="A6" s="13" t="s">
        <v>47</v>
      </c>
      <c r="B6" s="14">
        <v>3</v>
      </c>
    </row>
    <row r="7" spans="1:24">
      <c r="A7" s="13" t="s">
        <v>48</v>
      </c>
      <c r="B7" s="14" t="s">
        <v>237</v>
      </c>
    </row>
    <row r="8" spans="1:24">
      <c r="A8" s="13" t="s">
        <v>347</v>
      </c>
      <c r="B8" s="14" t="s">
        <v>371</v>
      </c>
    </row>
    <row r="9" spans="1:24">
      <c r="A9" s="17"/>
    </row>
    <row r="10" spans="1:24">
      <c r="A10" s="17" t="s">
        <v>49</v>
      </c>
      <c r="B10" s="18">
        <v>44377</v>
      </c>
      <c r="C10" s="18">
        <v>44286</v>
      </c>
      <c r="D10" s="18">
        <v>44196</v>
      </c>
      <c r="E10" s="18">
        <v>44104</v>
      </c>
      <c r="F10" s="18">
        <v>44012</v>
      </c>
      <c r="G10" s="18">
        <v>43921</v>
      </c>
      <c r="H10" s="18">
        <v>43830</v>
      </c>
      <c r="I10" s="18">
        <v>43738</v>
      </c>
      <c r="J10" s="18">
        <v>43646</v>
      </c>
      <c r="K10" s="18">
        <v>43555</v>
      </c>
      <c r="L10" s="18">
        <v>43465</v>
      </c>
      <c r="M10" s="18">
        <v>43373</v>
      </c>
      <c r="N10" s="18">
        <v>43281</v>
      </c>
      <c r="O10" s="18">
        <v>43190</v>
      </c>
      <c r="P10" s="18">
        <v>43100</v>
      </c>
      <c r="Q10" s="18">
        <f t="shared" ref="Q10:S10" si="0">EOMONTH(P10,-3)</f>
        <v>43008</v>
      </c>
      <c r="R10" s="18">
        <f t="shared" si="0"/>
        <v>42916</v>
      </c>
      <c r="S10" s="18">
        <f t="shared" si="0"/>
        <v>42825</v>
      </c>
    </row>
    <row r="11" spans="1:24">
      <c r="B11" s="33"/>
      <c r="C11" s="33"/>
      <c r="D11" s="33"/>
      <c r="E11" s="33"/>
      <c r="F11" s="33"/>
      <c r="G11" s="33"/>
      <c r="H11" s="33"/>
      <c r="I11" s="33"/>
      <c r="J11" s="33"/>
      <c r="K11" s="33"/>
      <c r="L11" s="33"/>
    </row>
    <row r="12" spans="1:24">
      <c r="A12" s="19" t="s">
        <v>50</v>
      </c>
      <c r="B12" s="20">
        <v>131.20400000000001</v>
      </c>
      <c r="C12" s="20">
        <v>122.8</v>
      </c>
      <c r="D12" s="20">
        <v>113.761</v>
      </c>
      <c r="E12" s="20">
        <v>107.91</v>
      </c>
      <c r="F12" s="20">
        <v>96.200999999999993</v>
      </c>
      <c r="G12" s="20">
        <v>113.818</v>
      </c>
      <c r="H12" s="20">
        <v>110.19</v>
      </c>
      <c r="I12" s="20">
        <v>116.67</v>
      </c>
      <c r="J12" s="20">
        <v>126.04900000000001</v>
      </c>
      <c r="K12" s="20">
        <v>113.947</v>
      </c>
      <c r="L12" s="20">
        <v>100.002</v>
      </c>
      <c r="M12" s="20">
        <v>104.592</v>
      </c>
      <c r="N12" s="20">
        <v>105.09</v>
      </c>
      <c r="O12" s="20">
        <v>89.671000000000006</v>
      </c>
      <c r="P12" s="20">
        <f>332.33-Q12-R12-S12</f>
        <v>75.602999999999966</v>
      </c>
      <c r="Q12" s="20">
        <v>85.073999999999998</v>
      </c>
      <c r="R12" s="20">
        <v>91.382000000000005</v>
      </c>
      <c r="S12" s="20">
        <v>80.271000000000001</v>
      </c>
    </row>
    <row r="13" spans="1:24" s="21" customFormat="1">
      <c r="A13" s="21" t="s">
        <v>51</v>
      </c>
      <c r="B13" s="21">
        <f t="shared" ref="B13:O13" si="1">+B12/F12-1</f>
        <v>0.36385276660325783</v>
      </c>
      <c r="C13" s="151">
        <f>122.8/121.8-1</f>
        <v>8.2101806239738284E-3</v>
      </c>
      <c r="D13" s="21">
        <f t="shared" si="1"/>
        <v>3.2407659497232011E-2</v>
      </c>
      <c r="E13" s="21">
        <f t="shared" si="1"/>
        <v>-7.5083569040884535E-2</v>
      </c>
      <c r="F13" s="21">
        <f t="shared" si="1"/>
        <v>-0.23679680124396074</v>
      </c>
      <c r="G13" s="21">
        <f t="shared" si="1"/>
        <v>-1.1321052770147944E-3</v>
      </c>
      <c r="H13" s="21">
        <f t="shared" si="1"/>
        <v>0.10187796244075131</v>
      </c>
      <c r="I13" s="21">
        <f t="shared" si="1"/>
        <v>0.11547728315741179</v>
      </c>
      <c r="J13" s="21">
        <f t="shared" si="1"/>
        <v>0.19943857645827379</v>
      </c>
      <c r="K13" s="21">
        <f t="shared" si="1"/>
        <v>0.27072297621304542</v>
      </c>
      <c r="L13" s="21">
        <f t="shared" si="1"/>
        <v>0.32272528867902128</v>
      </c>
      <c r="M13" s="21">
        <f t="shared" si="1"/>
        <v>0.22942379575428462</v>
      </c>
      <c r="N13" s="21">
        <f t="shared" si="1"/>
        <v>0.15000766015188982</v>
      </c>
      <c r="O13" s="21">
        <f t="shared" si="1"/>
        <v>0.11710331252880879</v>
      </c>
    </row>
    <row r="14" spans="1:24" s="24" customFormat="1">
      <c r="A14" s="22" t="s">
        <v>52</v>
      </c>
      <c r="B14" s="129">
        <f>((B12-F12)-9.1)/F12</f>
        <v>0.26925915531023603</v>
      </c>
      <c r="C14" s="129" t="s">
        <v>3</v>
      </c>
      <c r="D14" s="23" t="s">
        <v>3</v>
      </c>
      <c r="E14" s="23" t="s">
        <v>3</v>
      </c>
      <c r="F14" s="23" t="s">
        <v>3</v>
      </c>
      <c r="G14" s="23" t="s">
        <v>3</v>
      </c>
      <c r="H14" s="129">
        <f>(11.5-10.1)/L12</f>
        <v>1.3999720005599892E-2</v>
      </c>
      <c r="I14" s="129">
        <f>(M12+13.8-15)/M12-1</f>
        <v>-1.1473152822395583E-2</v>
      </c>
      <c r="J14" s="23" t="s">
        <v>3</v>
      </c>
      <c r="K14" s="23" t="s">
        <v>3</v>
      </c>
      <c r="L14" s="23" t="s">
        <v>3</v>
      </c>
      <c r="M14" s="23" t="s">
        <v>3</v>
      </c>
      <c r="N14" s="23" t="s">
        <v>3</v>
      </c>
      <c r="O14" s="23" t="s">
        <v>3</v>
      </c>
      <c r="P14" s="23"/>
      <c r="Q14" s="23"/>
      <c r="R14" s="23"/>
      <c r="S14" s="23"/>
      <c r="U14" s="14"/>
      <c r="W14" s="88"/>
      <c r="X14" s="88"/>
    </row>
    <row r="15" spans="1:24">
      <c r="B15" s="130"/>
      <c r="C15" s="130"/>
      <c r="D15" s="130"/>
      <c r="E15" s="130"/>
      <c r="F15" s="130"/>
      <c r="G15" s="130"/>
      <c r="H15" s="130"/>
      <c r="I15" s="130"/>
      <c r="W15" s="21"/>
    </row>
    <row r="16" spans="1:24" s="17" customFormat="1">
      <c r="A16" s="25" t="s">
        <v>53</v>
      </c>
      <c r="B16" s="26">
        <v>25.402999999999999</v>
      </c>
      <c r="C16" s="26">
        <v>26.8</v>
      </c>
      <c r="D16" s="26">
        <v>26.074000000000002</v>
      </c>
      <c r="E16" s="26">
        <v>25.864999999999998</v>
      </c>
      <c r="F16" s="26">
        <v>19.312999999999999</v>
      </c>
      <c r="G16" s="26">
        <v>26.4</v>
      </c>
      <c r="H16" s="26">
        <v>23.506</v>
      </c>
      <c r="I16" s="26">
        <v>26.914999999999999</v>
      </c>
      <c r="J16" s="26">
        <v>29.521000000000001</v>
      </c>
      <c r="K16" s="26">
        <f>24.858</f>
        <v>24.858000000000001</v>
      </c>
      <c r="L16" s="26">
        <v>23.952999999999999</v>
      </c>
      <c r="M16" s="26">
        <v>27.917000000000002</v>
      </c>
      <c r="N16" s="26">
        <v>29.965</v>
      </c>
      <c r="O16" s="26">
        <v>25.113</v>
      </c>
      <c r="P16" s="26">
        <v>20.562000000000001</v>
      </c>
      <c r="Q16" s="26">
        <v>26.122</v>
      </c>
      <c r="R16" s="26">
        <v>27.027000000000001</v>
      </c>
      <c r="S16" s="26">
        <f>48.08-R16</f>
        <v>21.052999999999997</v>
      </c>
      <c r="U16" s="14"/>
      <c r="W16" s="130"/>
    </row>
    <row r="17" spans="1:23" s="21" customFormat="1">
      <c r="A17" s="21" t="s">
        <v>54</v>
      </c>
      <c r="B17" s="21">
        <f t="shared" ref="B17:C17" si="2">+B16/B12</f>
        <v>0.19361452394744061</v>
      </c>
      <c r="C17" s="21">
        <f t="shared" si="2"/>
        <v>0.21824104234527689</v>
      </c>
      <c r="D17" s="21">
        <f t="shared" ref="D17:E17" si="3">+D16/D12</f>
        <v>0.22919981364439485</v>
      </c>
      <c r="E17" s="21">
        <f t="shared" si="3"/>
        <v>0.23969048280974886</v>
      </c>
      <c r="F17" s="21">
        <f t="shared" ref="F17:G17" si="4">+F16/F12</f>
        <v>0.20075674889034417</v>
      </c>
      <c r="G17" s="21">
        <f t="shared" si="4"/>
        <v>0.23194925231509952</v>
      </c>
      <c r="H17" s="21">
        <f t="shared" ref="H17:I17" si="5">+H16/H12</f>
        <v>0.21332244305290862</v>
      </c>
      <c r="I17" s="21">
        <f t="shared" si="5"/>
        <v>0.23069340875974972</v>
      </c>
      <c r="J17" s="21">
        <f t="shared" ref="J17:L17" si="6">+J16/J12</f>
        <v>0.23420257201564471</v>
      </c>
      <c r="K17" s="21">
        <f t="shared" si="6"/>
        <v>0.218154054077773</v>
      </c>
      <c r="L17" s="21">
        <f t="shared" si="6"/>
        <v>0.23952520949581008</v>
      </c>
      <c r="M17" s="21">
        <f t="shared" ref="M17:O17" si="7">+M16/M12</f>
        <v>0.26691333945234819</v>
      </c>
      <c r="N17" s="21">
        <f t="shared" si="7"/>
        <v>0.28513654962413171</v>
      </c>
      <c r="O17" s="21">
        <f t="shared" si="7"/>
        <v>0.28005709761238301</v>
      </c>
      <c r="P17" s="21">
        <f t="shared" ref="P17:S17" si="8">+P16/P12</f>
        <v>0.27197333439149252</v>
      </c>
      <c r="Q17" s="21">
        <f t="shared" si="8"/>
        <v>0.30705033265157394</v>
      </c>
      <c r="R17" s="21">
        <f t="shared" si="8"/>
        <v>0.29575846446783832</v>
      </c>
      <c r="S17" s="21">
        <f t="shared" si="8"/>
        <v>0.26227404666691578</v>
      </c>
    </row>
    <row r="18" spans="1:23" s="24" customFormat="1"/>
    <row r="19" spans="1:23"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W19" s="21"/>
    </row>
    <row r="20" spans="1:23"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row>
    <row r="21" spans="1:23"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row>
    <row r="22" spans="1:23" s="17" customFormat="1">
      <c r="A22" s="17" t="s">
        <v>58</v>
      </c>
      <c r="B22" s="27">
        <f t="shared" ref="B22:C22" si="9">B16+B19+B20+B21</f>
        <v>25.402999999999999</v>
      </c>
      <c r="C22" s="27">
        <f t="shared" si="9"/>
        <v>26.8</v>
      </c>
      <c r="D22" s="27">
        <f t="shared" ref="D22:E22" si="10">D16+D19+D20+D21</f>
        <v>26.074000000000002</v>
      </c>
      <c r="E22" s="27">
        <f t="shared" si="10"/>
        <v>25.864999999999998</v>
      </c>
      <c r="F22" s="27">
        <f t="shared" ref="F22:G22" si="11">F16+F19+F20+F21</f>
        <v>19.312999999999999</v>
      </c>
      <c r="G22" s="27">
        <f t="shared" si="11"/>
        <v>26.4</v>
      </c>
      <c r="H22" s="27">
        <f t="shared" ref="H22:I22" si="12">H16+H19+H20+H21</f>
        <v>23.506</v>
      </c>
      <c r="I22" s="27">
        <f t="shared" si="12"/>
        <v>26.914999999999999</v>
      </c>
      <c r="J22" s="27">
        <f t="shared" ref="J22:K22" si="13">J16+J19+J20+J21</f>
        <v>29.521000000000001</v>
      </c>
      <c r="K22" s="27">
        <f t="shared" si="13"/>
        <v>24.858000000000001</v>
      </c>
      <c r="L22" s="27">
        <f t="shared" ref="L22:S22" si="14">L16+L19+L20+L21</f>
        <v>23.952999999999999</v>
      </c>
      <c r="M22" s="27">
        <f t="shared" si="14"/>
        <v>27.917000000000002</v>
      </c>
      <c r="N22" s="27">
        <f t="shared" si="14"/>
        <v>29.965</v>
      </c>
      <c r="O22" s="27">
        <f t="shared" si="14"/>
        <v>25.113</v>
      </c>
      <c r="P22" s="27">
        <f t="shared" si="14"/>
        <v>20.562000000000001</v>
      </c>
      <c r="Q22" s="27">
        <f t="shared" si="14"/>
        <v>26.122</v>
      </c>
      <c r="R22" s="27">
        <f t="shared" si="14"/>
        <v>27.027000000000001</v>
      </c>
      <c r="S22" s="27">
        <f t="shared" si="14"/>
        <v>21.052999999999997</v>
      </c>
    </row>
    <row r="23" spans="1:23" s="17" customFormat="1">
      <c r="B23" s="21"/>
      <c r="C23" s="21"/>
      <c r="D23" s="21"/>
      <c r="E23" s="21"/>
      <c r="F23" s="21"/>
      <c r="G23" s="21"/>
      <c r="H23" s="21"/>
      <c r="I23" s="21"/>
      <c r="J23" s="21"/>
      <c r="K23" s="21"/>
      <c r="L23" s="21"/>
      <c r="M23" s="27"/>
      <c r="N23" s="27"/>
      <c r="O23" s="27"/>
      <c r="P23" s="27"/>
      <c r="Q23" s="27"/>
      <c r="R23" s="27"/>
      <c r="S23" s="27"/>
      <c r="T23" s="87"/>
      <c r="U23" s="87"/>
      <c r="V23" s="87"/>
    </row>
    <row r="24" spans="1:23" s="17" customFormat="1">
      <c r="A24" s="17" t="s">
        <v>59</v>
      </c>
      <c r="B24" s="65">
        <f t="shared" ref="B24:L24" si="15">SUM(B22:E22)</f>
        <v>104.142</v>
      </c>
      <c r="C24" s="65">
        <f t="shared" si="15"/>
        <v>98.052000000000007</v>
      </c>
      <c r="D24" s="65">
        <f t="shared" si="15"/>
        <v>97.651999999999987</v>
      </c>
      <c r="E24" s="65">
        <f t="shared" si="15"/>
        <v>95.084000000000003</v>
      </c>
      <c r="F24" s="65">
        <f t="shared" si="15"/>
        <v>96.133999999999986</v>
      </c>
      <c r="G24" s="65">
        <f t="shared" si="15"/>
        <v>106.342</v>
      </c>
      <c r="H24" s="65">
        <f t="shared" si="15"/>
        <v>104.80000000000001</v>
      </c>
      <c r="I24" s="65">
        <f t="shared" si="15"/>
        <v>105.247</v>
      </c>
      <c r="J24" s="65">
        <f t="shared" si="15"/>
        <v>106.24900000000001</v>
      </c>
      <c r="K24" s="65">
        <f t="shared" si="15"/>
        <v>106.69300000000001</v>
      </c>
      <c r="L24" s="65">
        <f t="shared" si="15"/>
        <v>106.94800000000001</v>
      </c>
      <c r="M24" s="46">
        <v>94.4</v>
      </c>
      <c r="N24" s="46">
        <v>95.1</v>
      </c>
      <c r="O24" s="46">
        <v>86.082999999999998</v>
      </c>
      <c r="P24" s="65"/>
      <c r="Q24" s="27"/>
      <c r="R24" s="27"/>
      <c r="S24" s="27"/>
    </row>
    <row r="25" spans="1:23" s="24" customFormat="1">
      <c r="A25" s="19" t="s">
        <v>60</v>
      </c>
      <c r="B25" s="28">
        <v>0</v>
      </c>
      <c r="C25" s="28">
        <f>101-C24</f>
        <v>2.9479999999999933</v>
      </c>
      <c r="D25" s="28">
        <f>95.1-D24</f>
        <v>-2.5519999999999925</v>
      </c>
      <c r="E25" s="28">
        <v>0</v>
      </c>
      <c r="F25" s="28">
        <v>0</v>
      </c>
      <c r="G25" s="28">
        <v>0</v>
      </c>
      <c r="H25" s="28">
        <v>0</v>
      </c>
      <c r="I25" s="28">
        <v>0</v>
      </c>
      <c r="J25" s="28">
        <v>0</v>
      </c>
      <c r="K25" s="28">
        <v>0</v>
      </c>
      <c r="L25" s="28">
        <v>0</v>
      </c>
      <c r="M25" s="28">
        <v>3.3</v>
      </c>
      <c r="N25" s="28">
        <v>0</v>
      </c>
      <c r="O25" s="28">
        <v>0</v>
      </c>
      <c r="P25" s="28"/>
      <c r="Q25" s="28"/>
      <c r="R25" s="28"/>
      <c r="S25" s="28"/>
    </row>
    <row r="26" spans="1:23" s="24" customFormat="1">
      <c r="A26" s="19" t="s">
        <v>61</v>
      </c>
      <c r="B26" s="29">
        <v>0</v>
      </c>
      <c r="C26" s="29">
        <v>0</v>
      </c>
      <c r="D26" s="29">
        <v>0</v>
      </c>
      <c r="E26" s="29">
        <v>0</v>
      </c>
      <c r="F26" s="29">
        <v>0</v>
      </c>
      <c r="G26" s="29">
        <v>0</v>
      </c>
      <c r="H26" s="29">
        <v>0</v>
      </c>
      <c r="I26" s="29">
        <v>0</v>
      </c>
      <c r="J26" s="29">
        <v>0</v>
      </c>
      <c r="K26" s="29">
        <v>0</v>
      </c>
      <c r="L26" s="29">
        <f>106.949-L25-L24</f>
        <v>9.9999999999056399E-4</v>
      </c>
      <c r="M26" s="29">
        <f>107.7-M25-M24</f>
        <v>10</v>
      </c>
      <c r="N26" s="29">
        <v>0</v>
      </c>
      <c r="O26" s="29">
        <f>96.7-O25-O24</f>
        <v>10.617000000000004</v>
      </c>
      <c r="P26" s="29"/>
      <c r="Q26" s="29"/>
      <c r="R26" s="29"/>
      <c r="S26" s="29"/>
    </row>
    <row r="27" spans="1:23" s="32" customFormat="1">
      <c r="A27" s="17" t="s">
        <v>62</v>
      </c>
      <c r="B27" s="27">
        <f t="shared" ref="B27:C27" si="16">B24+B25+B26</f>
        <v>104.142</v>
      </c>
      <c r="C27" s="27">
        <f t="shared" si="16"/>
        <v>101</v>
      </c>
      <c r="D27" s="27">
        <f t="shared" ref="D27:E27" si="17">D24+D25+D26</f>
        <v>95.1</v>
      </c>
      <c r="E27" s="27">
        <f t="shared" si="17"/>
        <v>95.084000000000003</v>
      </c>
      <c r="F27" s="27">
        <f t="shared" ref="F27:G27" si="18">F24+F25+F26</f>
        <v>96.133999999999986</v>
      </c>
      <c r="G27" s="27">
        <f t="shared" si="18"/>
        <v>106.342</v>
      </c>
      <c r="H27" s="27">
        <f t="shared" ref="H27:I27" si="19">H24+H25+H26</f>
        <v>104.80000000000001</v>
      </c>
      <c r="I27" s="27">
        <f t="shared" si="19"/>
        <v>105.247</v>
      </c>
      <c r="J27" s="27">
        <f t="shared" ref="J27:O27" si="20">J24+J25+J26</f>
        <v>106.24900000000001</v>
      </c>
      <c r="K27" s="27">
        <f t="shared" si="20"/>
        <v>106.69300000000001</v>
      </c>
      <c r="L27" s="27">
        <f t="shared" si="20"/>
        <v>106.949</v>
      </c>
      <c r="M27" s="27">
        <f t="shared" si="20"/>
        <v>107.7</v>
      </c>
      <c r="N27" s="65">
        <f t="shared" si="20"/>
        <v>95.1</v>
      </c>
      <c r="O27" s="27">
        <f t="shared" si="20"/>
        <v>96.7</v>
      </c>
      <c r="P27" s="27"/>
      <c r="Q27" s="27"/>
      <c r="R27" s="27"/>
      <c r="S27" s="27"/>
    </row>
    <row r="28" spans="1:23" s="24" customFormat="1"/>
    <row r="29" spans="1:23" s="17" customFormat="1">
      <c r="A29" s="17" t="s">
        <v>58</v>
      </c>
      <c r="B29" s="27">
        <f t="shared" ref="B29" si="21">B22</f>
        <v>25.402999999999999</v>
      </c>
      <c r="C29" s="27">
        <f t="shared" ref="C29:D29" si="22">C22</f>
        <v>26.8</v>
      </c>
      <c r="D29" s="27">
        <f t="shared" si="22"/>
        <v>26.074000000000002</v>
      </c>
      <c r="E29" s="27">
        <f t="shared" ref="E29:F29" si="23">E22</f>
        <v>25.864999999999998</v>
      </c>
      <c r="F29" s="27">
        <f t="shared" si="23"/>
        <v>19.312999999999999</v>
      </c>
      <c r="G29" s="27">
        <f t="shared" ref="G29:H29" si="24">G22</f>
        <v>26.4</v>
      </c>
      <c r="H29" s="27">
        <f t="shared" si="24"/>
        <v>23.506</v>
      </c>
      <c r="I29" s="27">
        <f t="shared" ref="I29:S29" si="25">I22</f>
        <v>26.914999999999999</v>
      </c>
      <c r="J29" s="27">
        <f t="shared" si="25"/>
        <v>29.521000000000001</v>
      </c>
      <c r="K29" s="27">
        <f t="shared" si="25"/>
        <v>24.858000000000001</v>
      </c>
      <c r="L29" s="27">
        <f t="shared" si="25"/>
        <v>23.952999999999999</v>
      </c>
      <c r="M29" s="27">
        <f t="shared" si="25"/>
        <v>27.917000000000002</v>
      </c>
      <c r="N29" s="27">
        <f t="shared" si="25"/>
        <v>29.965</v>
      </c>
      <c r="O29" s="27">
        <f t="shared" si="25"/>
        <v>25.113</v>
      </c>
      <c r="P29" s="27">
        <f t="shared" si="25"/>
        <v>20.562000000000001</v>
      </c>
      <c r="Q29" s="27">
        <f t="shared" si="25"/>
        <v>26.122</v>
      </c>
      <c r="R29" s="27">
        <f t="shared" si="25"/>
        <v>27.027000000000001</v>
      </c>
      <c r="S29" s="27">
        <f t="shared" si="25"/>
        <v>21.052999999999997</v>
      </c>
    </row>
    <row r="30" spans="1:23" s="33" customFormat="1">
      <c r="A30" s="20" t="s">
        <v>63</v>
      </c>
      <c r="B30" s="20"/>
      <c r="C30" s="20"/>
      <c r="D30" s="20"/>
      <c r="E30" s="20"/>
      <c r="F30" s="20"/>
      <c r="G30" s="20"/>
      <c r="H30" s="20"/>
      <c r="I30" s="20"/>
      <c r="J30" s="20"/>
      <c r="K30" s="20"/>
      <c r="L30" s="20"/>
      <c r="M30" s="20"/>
      <c r="N30" s="20"/>
      <c r="O30" s="20"/>
      <c r="P30" s="20"/>
      <c r="Q30" s="20"/>
      <c r="R30" s="20"/>
      <c r="S30" s="20"/>
    </row>
    <row r="31" spans="1:23" s="33" customFormat="1">
      <c r="A31" s="20" t="s">
        <v>64</v>
      </c>
      <c r="B31" s="20"/>
      <c r="C31" s="20"/>
      <c r="D31" s="20"/>
      <c r="E31" s="20"/>
      <c r="F31" s="20"/>
      <c r="G31" s="20"/>
      <c r="H31" s="20"/>
      <c r="I31" s="20"/>
      <c r="J31" s="20"/>
      <c r="K31" s="20"/>
      <c r="L31" s="20"/>
      <c r="M31" s="20"/>
      <c r="N31" s="20"/>
      <c r="O31" s="20"/>
      <c r="P31" s="20"/>
      <c r="Q31" s="20"/>
      <c r="R31" s="20"/>
      <c r="S31" s="20"/>
    </row>
    <row r="32" spans="1:23" s="33" customFormat="1">
      <c r="A32" s="20" t="s">
        <v>65</v>
      </c>
      <c r="B32" s="20">
        <f>1.687-3.178+2.586+1.026+6.921-C32</f>
        <v>9.4530000000000012</v>
      </c>
      <c r="C32" s="20">
        <f>-13.355-2.512+0.622+6.017+8.817</f>
        <v>-0.41100000000000136</v>
      </c>
      <c r="D32" s="20">
        <f>5.787+4.13-1.343+2.341-1.301-E32-F32-G32</f>
        <v>-8.7820000000000018</v>
      </c>
      <c r="E32" s="20">
        <f>9.015+5.037-0.694+4.02+1.018-F32-G32</f>
        <v>7.8510000000000026</v>
      </c>
      <c r="F32" s="20">
        <f>7.694+5.009-2.858+3.293-2.593-G32</f>
        <v>12.251999999999999</v>
      </c>
      <c r="G32" s="20">
        <f>-7.219+0.933+0.565+7.627-3.613</f>
        <v>-1.7070000000000003</v>
      </c>
      <c r="H32" s="20">
        <f>2.315+0.566+0.916-7.508-2.209-I32-J32-K32</f>
        <v>-8.004999999999999</v>
      </c>
      <c r="I32" s="20">
        <f>2.37+1.97-0.287-2.621+0.653-J32-K32</f>
        <v>2.3780000000000001</v>
      </c>
      <c r="J32" s="20">
        <f>-2.847+3.92-0.167-1.174-0.025-K32</f>
        <v>4.1479999999999997</v>
      </c>
      <c r="K32" s="20">
        <f>-3.295+0.554+0.32-0.667-1.353</f>
        <v>-4.4409999999999998</v>
      </c>
      <c r="L32" s="20">
        <f>-9.451-3.98+0.25+0.571+11.538-17.864-M32-N32-O32</f>
        <v>-2.8659999999999997</v>
      </c>
      <c r="M32" s="20">
        <f>-6.556-3.31-0.071-1.194-2.004-2.935-N32-O32</f>
        <v>-5.0310000000000006</v>
      </c>
      <c r="N32" s="20">
        <f>-10.508-0.243+0.98+3.699-2.032-2.935-O32</f>
        <v>-7.1059999999999999</v>
      </c>
      <c r="O32" s="20">
        <f>-5.052+0.451+0.804+0.816+1.983-2.935</f>
        <v>-3.9329999999999998</v>
      </c>
      <c r="P32" s="20">
        <f>-1.591-4.379-2.455+4.121-2.483-Q32-R32-S32</f>
        <v>0.57799999999999763</v>
      </c>
      <c r="Q32" s="20">
        <f>-10.256-1.953-0.027+0.012+4.859-R32-S32</f>
        <v>3.3690000000000015</v>
      </c>
      <c r="R32" s="20">
        <f>-14.118+0.876-1.201+4.585-0.876-S32</f>
        <v>-0.82200000000000095</v>
      </c>
      <c r="S32" s="20">
        <f>-7.925-0.034+0.801-5.875+3.121</f>
        <v>-9.911999999999999</v>
      </c>
    </row>
    <row r="33" spans="1:26" s="33" customFormat="1">
      <c r="A33" s="20" t="s">
        <v>66</v>
      </c>
      <c r="B33" s="20"/>
      <c r="C33" s="20"/>
      <c r="D33" s="20"/>
      <c r="E33" s="20"/>
      <c r="F33" s="20"/>
      <c r="G33" s="20"/>
      <c r="H33" s="20"/>
      <c r="I33" s="20"/>
      <c r="J33" s="20"/>
      <c r="K33" s="20"/>
      <c r="L33" s="20"/>
      <c r="M33" s="20"/>
      <c r="N33" s="20"/>
      <c r="O33" s="20"/>
      <c r="P33" s="20"/>
      <c r="Q33" s="20"/>
      <c r="R33" s="20"/>
      <c r="S33" s="20"/>
    </row>
    <row r="34" spans="1:26" s="33" customFormat="1">
      <c r="A34" s="20" t="s">
        <v>57</v>
      </c>
      <c r="B34" s="29"/>
      <c r="C34" s="29"/>
      <c r="D34" s="29"/>
      <c r="E34" s="29"/>
      <c r="F34" s="29"/>
      <c r="G34" s="29"/>
      <c r="H34" s="29"/>
      <c r="I34" s="29"/>
      <c r="J34" s="29"/>
      <c r="K34" s="29"/>
      <c r="L34" s="29"/>
      <c r="M34" s="29"/>
      <c r="N34" s="29"/>
      <c r="O34" s="29"/>
      <c r="P34" s="29"/>
      <c r="Q34" s="29"/>
      <c r="R34" s="29"/>
      <c r="S34" s="29"/>
    </row>
    <row r="35" spans="1:26" s="27" customFormat="1">
      <c r="A35" s="27" t="s">
        <v>67</v>
      </c>
      <c r="B35" s="27">
        <f>34.875-C35</f>
        <v>22.651</v>
      </c>
      <c r="C35" s="27">
        <v>12.224</v>
      </c>
      <c r="D35" s="27">
        <f>56.563-E35-F35-G35</f>
        <v>6.4300000000000015</v>
      </c>
      <c r="E35" s="27">
        <f>50.133-F35-G35</f>
        <v>22.529000000000003</v>
      </c>
      <c r="F35" s="27">
        <f>27.604-G35</f>
        <v>17.872999999999998</v>
      </c>
      <c r="G35" s="27">
        <v>9.7309999999999999</v>
      </c>
      <c r="H35" s="27">
        <f>39.671-I35-J35-K35</f>
        <v>4.5959999999999965</v>
      </c>
      <c r="I35" s="27">
        <f>35.075-J35-K35</f>
        <v>13.049000000000003</v>
      </c>
      <c r="J35" s="27">
        <f>22.026-K35</f>
        <v>15.484999999999999</v>
      </c>
      <c r="K35" s="27">
        <v>6.5410000000000004</v>
      </c>
      <c r="L35" s="27">
        <f>-6.029-M35-N35-O35</f>
        <v>-2.7489999999999988</v>
      </c>
      <c r="M35" s="27">
        <f>-3.28-N35-O35</f>
        <v>8.51</v>
      </c>
      <c r="N35" s="27">
        <f>-11.79-O35</f>
        <v>5.2480000000000011</v>
      </c>
      <c r="O35" s="27">
        <v>-17.038</v>
      </c>
      <c r="P35" s="27">
        <f>35.992-Q35-R35-S35</f>
        <v>6.5729999999999968</v>
      </c>
      <c r="Q35" s="27">
        <f>29.419-R35-S35</f>
        <v>16.408000000000001</v>
      </c>
      <c r="R35" s="27">
        <f>13.011-S35</f>
        <v>12.667999999999999</v>
      </c>
      <c r="S35" s="27">
        <v>0.34300000000000003</v>
      </c>
    </row>
    <row r="36" spans="1:26" s="33" customFormat="1">
      <c r="A36" s="20" t="s">
        <v>68</v>
      </c>
      <c r="B36" s="29">
        <f>-2.927-C36</f>
        <v>-1.5609999999999999</v>
      </c>
      <c r="C36" s="29">
        <v>-1.3660000000000001</v>
      </c>
      <c r="D36" s="29">
        <f>-4.574-E36-F36-G36</f>
        <v>-1.5419999999999998</v>
      </c>
      <c r="E36" s="29">
        <f>-3.032-F36-G36</f>
        <v>-0.7669999999999999</v>
      </c>
      <c r="F36" s="29">
        <f>-2.265-G36</f>
        <v>2.5999999999999801E-2</v>
      </c>
      <c r="G36" s="29">
        <v>-2.2909999999999999</v>
      </c>
      <c r="H36" s="29">
        <f>-5.003-I36-J36-K36</f>
        <v>-1.4370000000000003</v>
      </c>
      <c r="I36" s="29">
        <f>-3.566-J36-K36</f>
        <v>-1.1869999999999998</v>
      </c>
      <c r="J36" s="29">
        <f>-2.379-K36</f>
        <v>-1.0489999999999999</v>
      </c>
      <c r="K36" s="29">
        <v>-1.33</v>
      </c>
      <c r="L36" s="29">
        <f>-5.613-M36-N36-O36</f>
        <v>-1.0570000000000004</v>
      </c>
      <c r="M36" s="29">
        <f>-4.556-N36-O36</f>
        <v>-1.7509999999999999</v>
      </c>
      <c r="N36" s="29">
        <f>-2.805-O36</f>
        <v>-1.6110000000000002</v>
      </c>
      <c r="O36" s="29">
        <v>-1.194</v>
      </c>
      <c r="P36" s="29">
        <f>-4.41-Q36-R36-S36</f>
        <v>-1.2640000000000002</v>
      </c>
      <c r="Q36" s="29">
        <f>-3.146-R36-S36</f>
        <v>-0.70399999999999974</v>
      </c>
      <c r="R36" s="29">
        <f>-2.442-S36</f>
        <v>-1.0300000000000002</v>
      </c>
      <c r="S36" s="29">
        <v>-1.4119999999999999</v>
      </c>
    </row>
    <row r="37" spans="1:26" s="27" customFormat="1">
      <c r="A37" s="27" t="s">
        <v>69</v>
      </c>
      <c r="B37" s="27">
        <f t="shared" ref="B37:S37" si="26">B35+B36</f>
        <v>21.09</v>
      </c>
      <c r="C37" s="27">
        <f t="shared" si="26"/>
        <v>10.858000000000001</v>
      </c>
      <c r="D37" s="27">
        <f t="shared" si="26"/>
        <v>4.8880000000000017</v>
      </c>
      <c r="E37" s="27">
        <f t="shared" si="26"/>
        <v>21.762000000000004</v>
      </c>
      <c r="F37" s="27">
        <f t="shared" si="26"/>
        <v>17.898999999999997</v>
      </c>
      <c r="G37" s="27">
        <f t="shared" si="26"/>
        <v>7.4399999999999995</v>
      </c>
      <c r="H37" s="27">
        <f t="shared" si="26"/>
        <v>3.1589999999999963</v>
      </c>
      <c r="I37" s="27">
        <f t="shared" si="26"/>
        <v>11.862000000000004</v>
      </c>
      <c r="J37" s="27">
        <f t="shared" si="26"/>
        <v>14.436</v>
      </c>
      <c r="K37" s="27">
        <f t="shared" si="26"/>
        <v>5.2110000000000003</v>
      </c>
      <c r="L37" s="27">
        <f t="shared" si="26"/>
        <v>-3.8059999999999992</v>
      </c>
      <c r="M37" s="27">
        <f t="shared" si="26"/>
        <v>6.7590000000000003</v>
      </c>
      <c r="N37" s="27">
        <f t="shared" si="26"/>
        <v>3.6370000000000009</v>
      </c>
      <c r="O37" s="27">
        <f t="shared" si="26"/>
        <v>-18.231999999999999</v>
      </c>
      <c r="P37" s="27">
        <f t="shared" si="26"/>
        <v>5.3089999999999966</v>
      </c>
      <c r="Q37" s="27">
        <f t="shared" si="26"/>
        <v>15.704000000000001</v>
      </c>
      <c r="R37" s="27">
        <f t="shared" si="26"/>
        <v>11.637999999999998</v>
      </c>
      <c r="S37" s="27">
        <f t="shared" si="26"/>
        <v>-1.069</v>
      </c>
    </row>
    <row r="38" spans="1:26">
      <c r="B38" s="33"/>
      <c r="C38" s="33"/>
      <c r="D38" s="33"/>
      <c r="E38" s="33"/>
      <c r="F38" s="33"/>
      <c r="G38" s="33"/>
      <c r="H38" s="33"/>
      <c r="I38" s="33"/>
      <c r="J38" s="33"/>
      <c r="K38" s="33"/>
      <c r="L38" s="33"/>
      <c r="X38" s="33"/>
    </row>
    <row r="39" spans="1:26" s="35" customFormat="1">
      <c r="A39" s="34" t="s">
        <v>70</v>
      </c>
      <c r="B39" s="20">
        <v>0</v>
      </c>
      <c r="C39" s="20">
        <v>0</v>
      </c>
      <c r="D39" s="20">
        <v>0</v>
      </c>
      <c r="E39" s="20">
        <v>50</v>
      </c>
      <c r="F39" s="20">
        <f>G39+40</f>
        <v>50</v>
      </c>
      <c r="G39" s="20">
        <v>10</v>
      </c>
      <c r="H39" s="20">
        <v>0</v>
      </c>
      <c r="I39" s="20">
        <v>0</v>
      </c>
      <c r="J39" s="20">
        <v>0</v>
      </c>
      <c r="K39" s="20">
        <v>0</v>
      </c>
      <c r="L39" s="20">
        <v>0</v>
      </c>
      <c r="M39" s="20">
        <v>0</v>
      </c>
      <c r="N39" s="20">
        <v>0</v>
      </c>
      <c r="O39" s="20">
        <v>5</v>
      </c>
      <c r="P39" s="20">
        <v>0</v>
      </c>
      <c r="Q39" s="20"/>
      <c r="R39" s="20"/>
      <c r="S39" s="20"/>
      <c r="T39" s="89"/>
      <c r="U39" s="90"/>
      <c r="V39" s="89"/>
      <c r="X39" s="33"/>
    </row>
    <row r="40" spans="1:26" s="35" customFormat="1">
      <c r="A40" s="34" t="s">
        <v>71</v>
      </c>
      <c r="B40" s="20">
        <f>+D40-1.983</f>
        <v>566.31700000000001</v>
      </c>
      <c r="C40" s="20">
        <f>504.4+63.4</f>
        <v>567.79999999999995</v>
      </c>
      <c r="D40" s="20">
        <f>504.9+63.4</f>
        <v>568.29999999999995</v>
      </c>
      <c r="E40" s="20">
        <f>504.9+63.4</f>
        <v>568.29999999999995</v>
      </c>
      <c r="F40" s="20">
        <f>618.296-F39</f>
        <v>568.29600000000005</v>
      </c>
      <c r="G40" s="20">
        <f>H40</f>
        <v>575.08799999999997</v>
      </c>
      <c r="H40" s="20">
        <f>575.088</f>
        <v>575.08799999999997</v>
      </c>
      <c r="I40" s="20">
        <f>I41-165-I39</f>
        <v>578.01300000000003</v>
      </c>
      <c r="J40" s="20">
        <f>J41-165-J39</f>
        <v>578.01300000000003</v>
      </c>
      <c r="K40" s="20">
        <f>K41-165-K39</f>
        <v>581.97500000000002</v>
      </c>
      <c r="L40" s="20">
        <v>580.93799999999999</v>
      </c>
      <c r="M40" s="20">
        <v>582.4</v>
      </c>
      <c r="N40" s="20">
        <f>N41-165</f>
        <v>518.70000000000005</v>
      </c>
      <c r="O40" s="20">
        <v>515</v>
      </c>
      <c r="P40" s="20">
        <v>435</v>
      </c>
      <c r="Q40" s="20"/>
      <c r="R40" s="20"/>
      <c r="S40" s="20"/>
      <c r="T40" s="33"/>
      <c r="U40" s="90"/>
      <c r="X40" s="33"/>
      <c r="Z40" s="103"/>
    </row>
    <row r="41" spans="1:26" s="35" customFormat="1">
      <c r="A41" s="34" t="s">
        <v>72</v>
      </c>
      <c r="B41" s="20">
        <f t="shared" ref="B41:H41" si="27">B39+B40+165</f>
        <v>731.31700000000001</v>
      </c>
      <c r="C41" s="20">
        <f t="shared" si="27"/>
        <v>732.8</v>
      </c>
      <c r="D41" s="20">
        <f t="shared" si="27"/>
        <v>733.3</v>
      </c>
      <c r="E41" s="20">
        <f t="shared" si="27"/>
        <v>783.3</v>
      </c>
      <c r="F41" s="20">
        <f t="shared" si="27"/>
        <v>783.29600000000005</v>
      </c>
      <c r="G41" s="20">
        <f t="shared" si="27"/>
        <v>750.08799999999997</v>
      </c>
      <c r="H41" s="20">
        <f t="shared" si="27"/>
        <v>740.08799999999997</v>
      </c>
      <c r="I41" s="20">
        <f>717.1+20.063+5.85</f>
        <v>743.01300000000003</v>
      </c>
      <c r="J41" s="20">
        <f>716.192+5.85+20.971</f>
        <v>743.01300000000003</v>
      </c>
      <c r="K41" s="20">
        <f>716.746+21.879+8.35</f>
        <v>746.97500000000002</v>
      </c>
      <c r="L41" s="20">
        <f>L39+L40+165</f>
        <v>745.93799999999999</v>
      </c>
      <c r="M41" s="20">
        <f>M39+M40+165</f>
        <v>747.4</v>
      </c>
      <c r="N41" s="20">
        <v>683.7</v>
      </c>
      <c r="O41" s="20">
        <f>O39+O40+165</f>
        <v>685</v>
      </c>
      <c r="P41" s="20">
        <f>P39+P40+165</f>
        <v>600</v>
      </c>
      <c r="Q41" s="20"/>
      <c r="R41" s="20"/>
      <c r="S41" s="20"/>
      <c r="U41" s="90"/>
    </row>
    <row r="42" spans="1:26" s="35" customFormat="1">
      <c r="A42" s="34" t="s">
        <v>73</v>
      </c>
      <c r="B42" s="36">
        <v>370.7</v>
      </c>
      <c r="C42" s="36">
        <v>370.7</v>
      </c>
      <c r="D42" s="36">
        <v>370.7</v>
      </c>
      <c r="E42" s="36">
        <v>370.7</v>
      </c>
      <c r="F42" s="36">
        <v>370.7</v>
      </c>
      <c r="G42" s="36">
        <v>370.7</v>
      </c>
      <c r="H42" s="36">
        <v>370.7</v>
      </c>
      <c r="I42" s="36">
        <v>370.7</v>
      </c>
      <c r="J42" s="36">
        <v>370.7</v>
      </c>
      <c r="K42" s="36">
        <v>370.7</v>
      </c>
      <c r="L42" s="36">
        <v>370.7</v>
      </c>
      <c r="M42" s="36">
        <v>370.7</v>
      </c>
      <c r="N42" s="36">
        <v>351</v>
      </c>
      <c r="O42" s="36">
        <v>351</v>
      </c>
      <c r="P42" s="36">
        <v>347</v>
      </c>
      <c r="Q42" s="36"/>
      <c r="R42" s="36"/>
      <c r="S42" s="36"/>
    </row>
    <row r="43" spans="1:26">
      <c r="B43" s="35"/>
      <c r="C43" s="35"/>
      <c r="D43" s="35"/>
      <c r="E43" s="35"/>
      <c r="F43" s="35"/>
      <c r="G43" s="35"/>
      <c r="H43" s="35"/>
      <c r="I43" s="35"/>
      <c r="J43" s="35"/>
      <c r="K43" s="35"/>
      <c r="L43" s="35"/>
      <c r="M43" s="35"/>
      <c r="N43" s="35"/>
      <c r="O43" s="35"/>
      <c r="P43" s="35"/>
      <c r="Q43" s="35"/>
      <c r="R43" s="35"/>
      <c r="T43" s="79"/>
    </row>
    <row r="44" spans="1:26">
      <c r="A44" s="19" t="s">
        <v>74</v>
      </c>
      <c r="B44" s="28">
        <v>50.603999999999999</v>
      </c>
      <c r="C44" s="28">
        <v>31.024999999999999</v>
      </c>
      <c r="D44" s="28">
        <v>75.504999999999995</v>
      </c>
      <c r="E44" s="28">
        <v>120.902</v>
      </c>
      <c r="F44" s="28">
        <v>99.14</v>
      </c>
      <c r="G44" s="28">
        <v>48.087000000000003</v>
      </c>
      <c r="H44" s="28">
        <v>34.701999999999998</v>
      </c>
      <c r="I44" s="28">
        <v>34.64</v>
      </c>
      <c r="J44" s="28">
        <v>23.378</v>
      </c>
      <c r="K44" s="28">
        <v>11.891</v>
      </c>
      <c r="L44" s="28">
        <v>9.9179999999999993</v>
      </c>
      <c r="M44" s="28">
        <v>5.9</v>
      </c>
      <c r="N44" s="28">
        <v>13.862</v>
      </c>
      <c r="O44" s="28">
        <v>7.2</v>
      </c>
      <c r="P44" s="28">
        <v>0</v>
      </c>
      <c r="Q44" s="28"/>
      <c r="R44" s="28"/>
      <c r="S44" s="28"/>
      <c r="T44" s="79"/>
    </row>
    <row r="45" spans="1:26">
      <c r="B45" s="33"/>
      <c r="C45" s="33"/>
      <c r="D45" s="33"/>
      <c r="E45" s="33"/>
      <c r="F45" s="33"/>
      <c r="G45" s="33"/>
      <c r="H45" s="33"/>
      <c r="I45" s="33"/>
      <c r="J45" s="33"/>
      <c r="T45" s="79"/>
    </row>
    <row r="46" spans="1:26">
      <c r="A46" s="14" t="s">
        <v>75</v>
      </c>
      <c r="B46" s="58">
        <f t="shared" ref="B46:L46" si="28">SUM(B12:E12)</f>
        <v>475.67499999999995</v>
      </c>
      <c r="C46" s="58">
        <f t="shared" si="28"/>
        <v>440.67200000000003</v>
      </c>
      <c r="D46" s="58">
        <f t="shared" si="28"/>
        <v>431.68999999999994</v>
      </c>
      <c r="E46" s="58">
        <f t="shared" si="28"/>
        <v>428.11899999999997</v>
      </c>
      <c r="F46" s="58">
        <f t="shared" si="28"/>
        <v>436.87900000000002</v>
      </c>
      <c r="G46" s="58">
        <f t="shared" si="28"/>
        <v>466.72699999999998</v>
      </c>
      <c r="H46" s="58">
        <f t="shared" si="28"/>
        <v>466.85599999999999</v>
      </c>
      <c r="I46" s="58">
        <f t="shared" si="28"/>
        <v>456.66800000000001</v>
      </c>
      <c r="J46" s="58">
        <f t="shared" si="28"/>
        <v>444.59</v>
      </c>
      <c r="K46" s="58">
        <f t="shared" si="28"/>
        <v>423.63099999999997</v>
      </c>
      <c r="L46" s="58">
        <f t="shared" si="28"/>
        <v>399.35499999999996</v>
      </c>
      <c r="M46" s="51">
        <v>407.7</v>
      </c>
      <c r="N46" s="33">
        <f>O46+N12-R12</f>
        <v>388.40697699980154</v>
      </c>
      <c r="O46" s="33">
        <f>P46+O12-S12</f>
        <v>374.69897699980157</v>
      </c>
      <c r="P46" s="51">
        <v>365.2989769998016</v>
      </c>
      <c r="Q46" s="33"/>
      <c r="R46" s="33"/>
      <c r="S46" s="33"/>
      <c r="T46" s="79"/>
    </row>
    <row r="47" spans="1:26">
      <c r="A47" s="14" t="s">
        <v>76</v>
      </c>
      <c r="B47" s="58">
        <f t="shared" ref="B47" si="29">B27</f>
        <v>104.142</v>
      </c>
      <c r="C47" s="58">
        <f t="shared" ref="C47:D47" si="30">C27</f>
        <v>101</v>
      </c>
      <c r="D47" s="58">
        <f t="shared" si="30"/>
        <v>95.1</v>
      </c>
      <c r="E47" s="58">
        <f t="shared" ref="E47:F47" si="31">E27</f>
        <v>95.084000000000003</v>
      </c>
      <c r="F47" s="58">
        <f t="shared" si="31"/>
        <v>96.133999999999986</v>
      </c>
      <c r="G47" s="58">
        <f t="shared" ref="G47:H47" si="32">G27</f>
        <v>106.342</v>
      </c>
      <c r="H47" s="58">
        <f t="shared" si="32"/>
        <v>104.80000000000001</v>
      </c>
      <c r="I47" s="58">
        <f t="shared" ref="I47:O47" si="33">I27</f>
        <v>105.247</v>
      </c>
      <c r="J47" s="58">
        <f t="shared" si="33"/>
        <v>106.24900000000001</v>
      </c>
      <c r="K47" s="58">
        <f t="shared" si="33"/>
        <v>106.69300000000001</v>
      </c>
      <c r="L47" s="58">
        <f t="shared" si="33"/>
        <v>106.949</v>
      </c>
      <c r="M47" s="58">
        <f t="shared" si="33"/>
        <v>107.7</v>
      </c>
      <c r="N47" s="33">
        <f t="shared" si="33"/>
        <v>95.1</v>
      </c>
      <c r="O47" s="58">
        <f t="shared" si="33"/>
        <v>96.7</v>
      </c>
      <c r="P47" s="51">
        <v>86.7</v>
      </c>
      <c r="Q47" s="33"/>
      <c r="R47" s="33"/>
      <c r="S47" s="33"/>
      <c r="T47" s="79"/>
    </row>
    <row r="48" spans="1:26">
      <c r="A48" s="14" t="s">
        <v>77</v>
      </c>
      <c r="B48" s="33">
        <f t="shared" ref="B48:L48" si="34">SUM(B37:E37)</f>
        <v>58.597999999999999</v>
      </c>
      <c r="C48" s="33">
        <f t="shared" si="34"/>
        <v>55.407000000000011</v>
      </c>
      <c r="D48" s="33">
        <f t="shared" si="34"/>
        <v>51.989000000000004</v>
      </c>
      <c r="E48" s="33">
        <f t="shared" si="34"/>
        <v>50.26</v>
      </c>
      <c r="F48" s="33">
        <f t="shared" si="34"/>
        <v>40.36</v>
      </c>
      <c r="G48" s="33">
        <f t="shared" si="34"/>
        <v>36.896999999999998</v>
      </c>
      <c r="H48" s="33">
        <f t="shared" si="34"/>
        <v>34.667999999999999</v>
      </c>
      <c r="I48" s="33">
        <f t="shared" si="34"/>
        <v>27.703000000000003</v>
      </c>
      <c r="J48" s="33">
        <f t="shared" si="34"/>
        <v>22.6</v>
      </c>
      <c r="K48" s="33">
        <f t="shared" si="34"/>
        <v>11.801000000000002</v>
      </c>
      <c r="L48" s="33">
        <f t="shared" si="34"/>
        <v>-11.641999999999998</v>
      </c>
      <c r="M48" s="33">
        <f>N48+M37-Q37</f>
        <v>9.2035000000000018</v>
      </c>
      <c r="N48" s="33">
        <f>O48+N37-R37</f>
        <v>18.148500000000002</v>
      </c>
      <c r="O48" s="33">
        <f>P48+O37-S37</f>
        <v>26.1495</v>
      </c>
      <c r="P48" s="51">
        <v>43.3125</v>
      </c>
      <c r="Q48" s="33"/>
      <c r="R48" s="33"/>
      <c r="S48" s="33"/>
      <c r="T48" s="79"/>
    </row>
    <row r="49" spans="1:21">
      <c r="T49" s="79"/>
      <c r="U49" s="126"/>
    </row>
    <row r="50" spans="1:21" s="37" customFormat="1">
      <c r="A50" s="37" t="s">
        <v>78</v>
      </c>
      <c r="B50" s="37">
        <f t="shared" ref="B50:C50" si="35">+SUM(B39:B40)/B47</f>
        <v>5.4379309020376025</v>
      </c>
      <c r="C50" s="37">
        <f t="shared" si="35"/>
        <v>5.6217821782178214</v>
      </c>
      <c r="D50" s="37">
        <f t="shared" ref="D50:E50" si="36">+SUM(D39:D40)/D47</f>
        <v>5.9758149316508939</v>
      </c>
      <c r="E50" s="37">
        <f t="shared" si="36"/>
        <v>6.5026713221993182</v>
      </c>
      <c r="F50" s="37">
        <f t="shared" ref="F50:K50" si="37">+SUM(F39:F40)/F47</f>
        <v>6.4316058834543464</v>
      </c>
      <c r="G50" s="37">
        <f t="shared" si="37"/>
        <v>5.5019465498109872</v>
      </c>
      <c r="H50" s="37">
        <f t="shared" si="37"/>
        <v>5.4874809160305338</v>
      </c>
      <c r="I50" s="37">
        <f t="shared" si="37"/>
        <v>5.4919665168603382</v>
      </c>
      <c r="J50" s="37">
        <f t="shared" si="37"/>
        <v>5.4401735545746313</v>
      </c>
      <c r="K50" s="37">
        <f t="shared" si="37"/>
        <v>5.4546690035897383</v>
      </c>
      <c r="L50" s="37">
        <f t="shared" ref="L50:M50" si="38">+SUM(L39:L40)/L47</f>
        <v>5.431916146948546</v>
      </c>
      <c r="M50" s="37">
        <f t="shared" si="38"/>
        <v>5.4076137418755801</v>
      </c>
      <c r="N50" s="37">
        <f t="shared" ref="N50:O50" si="39">+SUM(N39:N40)/N47</f>
        <v>5.4542586750788651</v>
      </c>
      <c r="O50" s="37">
        <f t="shared" si="39"/>
        <v>5.3774560496380559</v>
      </c>
      <c r="P50" s="37">
        <f>+SUM(P39:P40)/P47</f>
        <v>5.0173010380622838</v>
      </c>
      <c r="T50" s="95"/>
    </row>
    <row r="51" spans="1:21" s="37" customFormat="1">
      <c r="A51" s="37" t="s">
        <v>79</v>
      </c>
      <c r="B51" s="37">
        <f t="shared" ref="B51" si="40">+B41/B47</f>
        <v>7.0223060820802372</v>
      </c>
      <c r="C51" s="37">
        <f t="shared" ref="C51:D51" si="41">+C41/C47</f>
        <v>7.2554455445544548</v>
      </c>
      <c r="D51" s="37">
        <f t="shared" si="41"/>
        <v>7.7108307045215563</v>
      </c>
      <c r="E51" s="37">
        <f t="shared" ref="E51:F51" si="42">+E41/E47</f>
        <v>8.2379790501030659</v>
      </c>
      <c r="F51" s="37">
        <f t="shared" si="42"/>
        <v>8.1479601389726852</v>
      </c>
      <c r="G51" s="37">
        <f t="shared" ref="G51:H51" si="43">+G41/G47</f>
        <v>7.0535442252355605</v>
      </c>
      <c r="H51" s="37">
        <f t="shared" si="43"/>
        <v>7.0619083969465635</v>
      </c>
      <c r="I51" s="37">
        <f t="shared" ref="I51:J51" si="44">+I41/I47</f>
        <v>7.0597071650498355</v>
      </c>
      <c r="J51" s="37">
        <f t="shared" si="44"/>
        <v>6.9931293470997371</v>
      </c>
      <c r="K51" s="37">
        <f t="shared" ref="K51:L51" si="45">+K41/K47</f>
        <v>7.0011622130786453</v>
      </c>
      <c r="L51" s="37">
        <f t="shared" si="45"/>
        <v>6.9747075708982784</v>
      </c>
      <c r="M51" s="37">
        <f t="shared" ref="M51:O51" si="46">+M41/M47</f>
        <v>6.9396471680594241</v>
      </c>
      <c r="N51" s="37">
        <f t="shared" si="46"/>
        <v>7.1892744479495274</v>
      </c>
      <c r="O51" s="37">
        <f t="shared" si="46"/>
        <v>7.0837642192347463</v>
      </c>
      <c r="P51" s="37">
        <f>+P41/P47</f>
        <v>6.9204152249134943</v>
      </c>
      <c r="T51" s="95"/>
    </row>
    <row r="52" spans="1:21" s="37" customFormat="1">
      <c r="A52" s="37" t="s">
        <v>80</v>
      </c>
      <c r="B52" s="37">
        <f t="shared" ref="B52" si="47">+(B41-B44)/B47</f>
        <v>6.5363926177718881</v>
      </c>
      <c r="C52" s="37">
        <f t="shared" ref="C52:D52" si="48">+(C41-C44)/C47</f>
        <v>6.9482673267326733</v>
      </c>
      <c r="D52" s="37">
        <f t="shared" si="48"/>
        <v>6.9168769716088327</v>
      </c>
      <c r="E52" s="37">
        <f t="shared" ref="E52:F52" si="49">+(E41-E44)/E47</f>
        <v>6.9664507172605266</v>
      </c>
      <c r="F52" s="37">
        <f t="shared" si="49"/>
        <v>7.1166912850812425</v>
      </c>
      <c r="G52" s="37">
        <f t="shared" ref="G52:H52" si="50">+(G41-G44)/G47</f>
        <v>6.6013522408831884</v>
      </c>
      <c r="H52" s="37">
        <f t="shared" si="50"/>
        <v>6.7307824427480902</v>
      </c>
      <c r="I52" s="37">
        <f t="shared" ref="I52:J52" si="51">+(I41-I44)/I47</f>
        <v>6.7305766435147802</v>
      </c>
      <c r="J52" s="37">
        <f t="shared" si="51"/>
        <v>6.7730990409321494</v>
      </c>
      <c r="K52" s="37">
        <f t="shared" ref="K52:L52" si="52">+(K41-K44)/K47</f>
        <v>6.8897116024481457</v>
      </c>
      <c r="L52" s="37">
        <f t="shared" si="52"/>
        <v>6.881971780942318</v>
      </c>
      <c r="M52" s="37">
        <f t="shared" ref="M52:O52" si="53">+(M41-M44)/M47</f>
        <v>6.8848653667595174</v>
      </c>
      <c r="N52" s="37">
        <f t="shared" si="53"/>
        <v>7.0435120925341757</v>
      </c>
      <c r="O52" s="37">
        <f t="shared" si="53"/>
        <v>7.009307135470527</v>
      </c>
      <c r="P52" s="37">
        <f>+(P41-P44)/P47</f>
        <v>6.9204152249134943</v>
      </c>
      <c r="T52" s="95"/>
    </row>
    <row r="53" spans="1:21" s="38" customFormat="1">
      <c r="A53" s="38" t="s">
        <v>81</v>
      </c>
      <c r="B53" s="38">
        <f t="shared" ref="B53" si="54">+B48/B41</f>
        <v>8.0126675572973136E-2</v>
      </c>
      <c r="C53" s="38">
        <f t="shared" ref="C53:D53" si="55">+C48/C41</f>
        <v>7.5609989082969453E-2</v>
      </c>
      <c r="D53" s="38">
        <f t="shared" si="55"/>
        <v>7.0897313514250659E-2</v>
      </c>
      <c r="E53" s="38">
        <f t="shared" ref="E53:F53" si="56">+E48/E41</f>
        <v>6.4164432529043788E-2</v>
      </c>
      <c r="F53" s="38">
        <f t="shared" si="56"/>
        <v>5.1525859955878744E-2</v>
      </c>
      <c r="G53" s="38">
        <f t="shared" ref="G53:H53" si="57">+G48/G41</f>
        <v>4.9190228346540674E-2</v>
      </c>
      <c r="H53" s="38">
        <f t="shared" si="57"/>
        <v>4.6843078120439731E-2</v>
      </c>
      <c r="I53" s="38">
        <f t="shared" ref="I53:J53" si="58">+I48/I41</f>
        <v>3.7284677387878815E-2</v>
      </c>
      <c r="J53" s="38">
        <f t="shared" si="58"/>
        <v>3.0416695266435447E-2</v>
      </c>
      <c r="K53" s="38">
        <f t="shared" ref="K53:L53" si="59">+K48/K41</f>
        <v>1.579838682686837E-2</v>
      </c>
      <c r="L53" s="38">
        <f t="shared" si="59"/>
        <v>-1.5607195236065192E-2</v>
      </c>
      <c r="M53" s="38">
        <f t="shared" ref="M53:O53" si="60">+M48/M41</f>
        <v>1.2314021942734817E-2</v>
      </c>
      <c r="N53" s="38">
        <f t="shared" si="60"/>
        <v>2.6544537077665645E-2</v>
      </c>
      <c r="O53" s="38">
        <f t="shared" si="60"/>
        <v>3.8174452554744526E-2</v>
      </c>
      <c r="P53" s="38">
        <f>+P48/P41</f>
        <v>7.2187500000000002E-2</v>
      </c>
      <c r="T53" s="96"/>
    </row>
    <row r="54" spans="1:21" s="38" customFormat="1">
      <c r="A54" s="39" t="s">
        <v>82</v>
      </c>
      <c r="B54" s="40"/>
      <c r="C54" s="40"/>
      <c r="D54" s="40"/>
      <c r="E54" s="40"/>
      <c r="F54" s="40"/>
      <c r="G54" s="40"/>
      <c r="H54" s="40"/>
      <c r="I54" s="40"/>
      <c r="J54" s="40"/>
      <c r="K54" s="40"/>
      <c r="L54" s="40"/>
      <c r="M54" s="40"/>
      <c r="N54" s="40"/>
      <c r="O54" s="40"/>
      <c r="P54" s="40"/>
      <c r="Q54" s="40"/>
      <c r="R54" s="40"/>
      <c r="S54" s="40"/>
      <c r="T54" s="96"/>
    </row>
    <row r="55" spans="1:21" s="38" customFormat="1">
      <c r="A55" s="38" t="s">
        <v>83</v>
      </c>
      <c r="B55" s="41">
        <f t="shared" ref="B55" si="61">IF(B42=0,IF(B54="","","*"&amp;TEXT(B54,"0.0x")),(B41+B42-B44)/B47)</f>
        <v>10.095955522267673</v>
      </c>
      <c r="C55" s="41">
        <f t="shared" ref="C55:D55" si="62">IF(C42=0,IF(C54="","","*"&amp;TEXT(C54,"0.0x")),(C41+C42-C44)/C47)</f>
        <v>10.618564356435643</v>
      </c>
      <c r="D55" s="41">
        <f t="shared" si="62"/>
        <v>10.814879074658254</v>
      </c>
      <c r="E55" s="41">
        <f t="shared" ref="E55:F55" si="63">IF(E42=0,IF(E54="","","*"&amp;TEXT(E54,"0.0x")),(E41+E42-E44)/E47)</f>
        <v>10.865108745950948</v>
      </c>
      <c r="F55" s="41">
        <f t="shared" si="63"/>
        <v>10.972767179145777</v>
      </c>
      <c r="G55" s="41">
        <f t="shared" ref="G55:H55" si="64">IF(G42=0,IF(G54="","","*"&amp;TEXT(G54,"0.0x")),(G41+G42-G44)/G47)</f>
        <v>10.087275018337063</v>
      </c>
      <c r="H55" s="41">
        <f t="shared" si="64"/>
        <v>10.267996183206106</v>
      </c>
      <c r="I55" s="41">
        <f t="shared" ref="I55:J55" si="65">IF(I42=0,IF(I54="","","*"&amp;TEXT(I54,"0.0x")),(I41+I42-I44)/I47)</f>
        <v>10.252767299780515</v>
      </c>
      <c r="J55" s="41">
        <f t="shared" si="65"/>
        <v>10.262073054805221</v>
      </c>
      <c r="K55" s="41">
        <f t="shared" ref="K55:L55" si="66">IF(K42=0,IF(K54="","","*"&amp;TEXT(K54,"0.0x")),(K41+K42-K44)/K47)</f>
        <v>10.364166346433223</v>
      </c>
      <c r="L55" s="41">
        <f t="shared" si="66"/>
        <v>10.348109846749386</v>
      </c>
      <c r="M55" s="41">
        <f t="shared" ref="M55:O55" si="67">IF(M42=0,IF(M54="","","*"&amp;TEXT(M54,"0.0x")),(M41+M42-M44)/M47)</f>
        <v>10.326833797585884</v>
      </c>
      <c r="N55" s="41">
        <f t="shared" si="67"/>
        <v>10.734363827549949</v>
      </c>
      <c r="O55" s="41">
        <f t="shared" si="67"/>
        <v>10.639089968976215</v>
      </c>
      <c r="P55" s="41">
        <f>IF(P42=0,IF(P54="","","*"&amp;TEXT(P54,"0.0x")),(P41+P42-P44)/P47)</f>
        <v>10.922722029988465</v>
      </c>
      <c r="Q55" s="41" t="str">
        <f>IF(Q42=0,IF(Q54="","","*"&amp;TEXT(Q54,"0.0x")),(Q41+Q42-Q44)/Q47)</f>
        <v/>
      </c>
      <c r="R55" s="41" t="str">
        <f>IF(R42=0,IF(R54="","","*"&amp;TEXT(R54,"0.0x")),(R41+R42-R44)/R47)</f>
        <v/>
      </c>
      <c r="S55" s="41" t="str">
        <f>IF(S42=0,IF(S54="","","*"&amp;TEXT(S54,"0.0x")),(S41+S42-S44)/S47)</f>
        <v/>
      </c>
      <c r="T55" s="96"/>
    </row>
    <row r="57" spans="1:21" ht="80.25" customHeight="1">
      <c r="A57" s="43" t="s">
        <v>84</v>
      </c>
      <c r="B57" s="44" t="s">
        <v>289</v>
      </c>
      <c r="C57" s="44" t="s">
        <v>289</v>
      </c>
      <c r="D57" s="44" t="s">
        <v>289</v>
      </c>
      <c r="E57" s="44" t="s">
        <v>289</v>
      </c>
      <c r="F57" s="44" t="s">
        <v>289</v>
      </c>
      <c r="G57" s="44" t="s">
        <v>289</v>
      </c>
      <c r="H57" s="44" t="s">
        <v>289</v>
      </c>
      <c r="I57" s="44" t="s">
        <v>289</v>
      </c>
      <c r="J57" s="44"/>
      <c r="K57" s="44" t="s">
        <v>289</v>
      </c>
      <c r="L57" s="44" t="s">
        <v>289</v>
      </c>
      <c r="M57" s="44" t="s">
        <v>307</v>
      </c>
      <c r="N57" s="44"/>
      <c r="O57" s="44"/>
      <c r="P57" s="44" t="s">
        <v>90</v>
      </c>
      <c r="Q57" s="44" t="s">
        <v>307</v>
      </c>
      <c r="R57" s="44"/>
      <c r="S57" s="44"/>
    </row>
    <row r="58" spans="1:21">
      <c r="A58" s="45"/>
      <c r="B58" s="42"/>
      <c r="C58" s="42"/>
      <c r="D58" s="42"/>
      <c r="E58" s="42"/>
      <c r="F58" s="42"/>
      <c r="G58" s="42"/>
      <c r="H58" s="42"/>
      <c r="I58" s="42"/>
      <c r="J58" s="42"/>
      <c r="K58" s="42"/>
      <c r="L58" s="42"/>
      <c r="M58" s="42"/>
      <c r="N58" s="42"/>
      <c r="O58" s="42"/>
      <c r="P58" s="42"/>
    </row>
    <row r="59" spans="1:21">
      <c r="A59" s="45"/>
    </row>
  </sheetData>
  <pageMargins left="0.7" right="0.7" top="0.75" bottom="0.75" header="0.3" footer="0.3"/>
  <pageSetup orientation="portrait" r:id="rId1"/>
  <ignoredErrors>
    <ignoredError sqref="J46:L46" formulaRange="1"/>
  </ignoredErrors>
  <legacyDrawing r:id="rId2"/>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2:V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7" width="10.6640625" style="14" customWidth="1"/>
    <col min="18" max="16384" width="9.109375" style="14"/>
  </cols>
  <sheetData>
    <row r="2" spans="1:19">
      <c r="A2" s="13" t="s">
        <v>44</v>
      </c>
      <c r="B2" s="14" t="s">
        <v>251</v>
      </c>
    </row>
    <row r="3" spans="1:19" s="16" customFormat="1">
      <c r="A3" s="15" t="s">
        <v>45</v>
      </c>
      <c r="B3" s="16" t="s">
        <v>253</v>
      </c>
    </row>
    <row r="4" spans="1:19">
      <c r="A4" s="13" t="s">
        <v>2</v>
      </c>
      <c r="B4" s="14" t="s">
        <v>4</v>
      </c>
    </row>
    <row r="5" spans="1:19">
      <c r="A5" s="13" t="s">
        <v>46</v>
      </c>
    </row>
    <row r="6" spans="1:19">
      <c r="A6" s="13" t="s">
        <v>47</v>
      </c>
    </row>
    <row r="7" spans="1:19">
      <c r="A7" s="13" t="s">
        <v>48</v>
      </c>
      <c r="B7" s="14" t="s">
        <v>452</v>
      </c>
    </row>
    <row r="8" spans="1:19">
      <c r="A8" s="13" t="s">
        <v>347</v>
      </c>
      <c r="B8" s="14" t="s">
        <v>370</v>
      </c>
    </row>
    <row r="9" spans="1:19">
      <c r="A9" s="17"/>
    </row>
    <row r="10" spans="1:19">
      <c r="A10" s="17" t="s">
        <v>49</v>
      </c>
      <c r="B10" s="18">
        <v>43830</v>
      </c>
      <c r="C10" s="18">
        <v>43738</v>
      </c>
      <c r="D10" s="18">
        <v>43646</v>
      </c>
      <c r="E10" s="18">
        <v>43555</v>
      </c>
      <c r="F10" s="18">
        <v>43465</v>
      </c>
      <c r="G10" s="18">
        <v>43373</v>
      </c>
      <c r="H10" s="18">
        <v>43281</v>
      </c>
      <c r="I10" s="18">
        <v>43190</v>
      </c>
      <c r="J10" s="18">
        <f>EOMONTH(I10,-3)</f>
        <v>43100</v>
      </c>
      <c r="K10" s="18">
        <f t="shared" ref="K10:Q10" si="0">EOMONTH(J10,-3)</f>
        <v>43008</v>
      </c>
      <c r="L10" s="18">
        <f t="shared" si="0"/>
        <v>42916</v>
      </c>
      <c r="M10" s="18">
        <f t="shared" si="0"/>
        <v>42825</v>
      </c>
      <c r="N10" s="18">
        <f t="shared" si="0"/>
        <v>42735</v>
      </c>
      <c r="O10" s="18">
        <f t="shared" si="0"/>
        <v>42643</v>
      </c>
      <c r="P10" s="18">
        <f t="shared" si="0"/>
        <v>42551</v>
      </c>
      <c r="Q10" s="18">
        <f t="shared" si="0"/>
        <v>42460</v>
      </c>
    </row>
    <row r="12" spans="1:19">
      <c r="A12" s="19" t="s">
        <v>50</v>
      </c>
      <c r="B12" s="20">
        <f>3375.9-C12-D12-E12</f>
        <v>725.40000000000032</v>
      </c>
      <c r="C12" s="20">
        <v>856.8</v>
      </c>
      <c r="D12" s="20">
        <v>916.7</v>
      </c>
      <c r="E12" s="20">
        <v>877</v>
      </c>
      <c r="F12" s="20">
        <f>3445.9-G12-H12-I12</f>
        <v>801.7000000000005</v>
      </c>
      <c r="G12" s="20">
        <v>911.3</v>
      </c>
      <c r="H12" s="20">
        <v>930.6</v>
      </c>
      <c r="I12" s="20">
        <v>802.3</v>
      </c>
      <c r="J12" s="20">
        <f>2857.3-M12-L12-K12</f>
        <v>694.10000000000036</v>
      </c>
      <c r="K12" s="20">
        <v>712.8</v>
      </c>
      <c r="L12" s="20">
        <v>776.2</v>
      </c>
      <c r="M12" s="20">
        <v>674.2</v>
      </c>
      <c r="N12" s="20">
        <f>2663.9-Q12-P12-O12</f>
        <v>613.1</v>
      </c>
      <c r="O12" s="20">
        <v>683.4</v>
      </c>
      <c r="P12" s="20">
        <v>704.9</v>
      </c>
      <c r="Q12" s="20">
        <v>662.5</v>
      </c>
      <c r="S12" s="33"/>
    </row>
    <row r="13" spans="1:19" s="21" customFormat="1">
      <c r="A13" s="21" t="s">
        <v>51</v>
      </c>
      <c r="B13" s="21">
        <f t="shared" ref="B13:L13" si="1">+B12/F12-1</f>
        <v>-9.5172757889484982E-2</v>
      </c>
      <c r="C13" s="21">
        <f t="shared" si="1"/>
        <v>-5.9804674640623334E-2</v>
      </c>
      <c r="D13" s="21">
        <f t="shared" si="1"/>
        <v>-1.4936600042983028E-2</v>
      </c>
      <c r="E13" s="21">
        <f t="shared" si="1"/>
        <v>9.3107316465162793E-2</v>
      </c>
      <c r="F13" s="21">
        <f t="shared" si="1"/>
        <v>0.15502089036161948</v>
      </c>
      <c r="G13" s="21">
        <f t="shared" si="1"/>
        <v>0.27847923681257014</v>
      </c>
      <c r="H13" s="21">
        <f t="shared" si="1"/>
        <v>0.19891780468951303</v>
      </c>
      <c r="I13" s="21">
        <f t="shared" si="1"/>
        <v>0.19000296647878945</v>
      </c>
      <c r="J13" s="21">
        <f t="shared" si="1"/>
        <v>0.13211547871472895</v>
      </c>
      <c r="K13" s="21">
        <f t="shared" si="1"/>
        <v>4.3020193151887653E-2</v>
      </c>
      <c r="L13" s="21">
        <f t="shared" si="1"/>
        <v>0.10114909916300197</v>
      </c>
    </row>
    <row r="14" spans="1:19" s="24" customFormat="1">
      <c r="A14" s="22" t="s">
        <v>52</v>
      </c>
      <c r="B14" s="23" t="s">
        <v>3</v>
      </c>
      <c r="C14" s="23" t="s">
        <v>3</v>
      </c>
      <c r="D14" s="23" t="s">
        <v>3</v>
      </c>
      <c r="E14" s="23" t="s">
        <v>3</v>
      </c>
      <c r="F14" s="23" t="s">
        <v>3</v>
      </c>
      <c r="G14" s="23" t="s">
        <v>3</v>
      </c>
      <c r="H14" s="23" t="s">
        <v>3</v>
      </c>
      <c r="I14" s="23" t="s">
        <v>3</v>
      </c>
      <c r="J14" s="23" t="s">
        <v>3</v>
      </c>
      <c r="K14" s="23" t="s">
        <v>3</v>
      </c>
      <c r="L14" s="23" t="s">
        <v>3</v>
      </c>
      <c r="M14" s="22"/>
      <c r="N14" s="22"/>
      <c r="O14" s="22"/>
      <c r="P14" s="22"/>
      <c r="Q14" s="22"/>
    </row>
    <row r="16" spans="1:19" s="17" customFormat="1">
      <c r="A16" s="25" t="s">
        <v>53</v>
      </c>
      <c r="B16" s="26">
        <f t="shared" ref="B16:I16" si="2">B22-B21-B20-B19</f>
        <v>80.300000000000011</v>
      </c>
      <c r="C16" s="26">
        <f t="shared" si="2"/>
        <v>115</v>
      </c>
      <c r="D16" s="26">
        <f t="shared" si="2"/>
        <v>108</v>
      </c>
      <c r="E16" s="26">
        <f t="shared" si="2"/>
        <v>84.7</v>
      </c>
      <c r="F16" s="26">
        <f t="shared" si="2"/>
        <v>60.6</v>
      </c>
      <c r="G16" s="26">
        <f t="shared" si="2"/>
        <v>77</v>
      </c>
      <c r="H16" s="26">
        <f t="shared" si="2"/>
        <v>84.8</v>
      </c>
      <c r="I16" s="26">
        <f t="shared" si="2"/>
        <v>53.6</v>
      </c>
      <c r="J16" s="26">
        <f>200.6-M16-L16-K16</f>
        <v>37.000000000000014</v>
      </c>
      <c r="K16" s="26">
        <f>K22-K21-K20-K19</f>
        <v>45.5</v>
      </c>
      <c r="L16" s="26">
        <f>L22-L21-L20-L19</f>
        <v>66.3</v>
      </c>
      <c r="M16" s="26">
        <f>M22-M21-M20-M19</f>
        <v>51.8</v>
      </c>
      <c r="N16" s="26">
        <f>205.1-Q16-P16-O16</f>
        <v>42.8</v>
      </c>
      <c r="O16" s="26">
        <f>O22-O21-O20-O19</f>
        <v>53.3</v>
      </c>
      <c r="P16" s="26">
        <f>P22-P21-P20-P19</f>
        <v>64.5</v>
      </c>
      <c r="Q16" s="26">
        <f>Q22-Q21-Q20-Q19</f>
        <v>44.5</v>
      </c>
    </row>
    <row r="17" spans="1:22" s="21" customFormat="1">
      <c r="A17" s="21" t="s">
        <v>54</v>
      </c>
      <c r="B17" s="21">
        <f t="shared" ref="B17:C17" si="3">+B16/B12</f>
        <v>0.11069754618141711</v>
      </c>
      <c r="C17" s="21">
        <f t="shared" si="3"/>
        <v>0.1342203548085901</v>
      </c>
      <c r="D17" s="21">
        <f t="shared" ref="D17:I17" si="4">+D16/D12</f>
        <v>0.11781389767644812</v>
      </c>
      <c r="E17" s="21">
        <f t="shared" si="4"/>
        <v>9.6579247434435578E-2</v>
      </c>
      <c r="F17" s="21">
        <f t="shared" si="4"/>
        <v>7.5589372583260525E-2</v>
      </c>
      <c r="G17" s="21">
        <f t="shared" si="4"/>
        <v>8.4494677932623732E-2</v>
      </c>
      <c r="H17" s="21">
        <f t="shared" si="4"/>
        <v>9.1124006017623035E-2</v>
      </c>
      <c r="I17" s="21">
        <f t="shared" si="4"/>
        <v>6.6807927209273338E-2</v>
      </c>
      <c r="J17" s="21">
        <f t="shared" ref="J17:P17" si="5">+J16/J12</f>
        <v>5.3306439994237134E-2</v>
      </c>
      <c r="K17" s="21">
        <f t="shared" si="5"/>
        <v>6.38327721661055E-2</v>
      </c>
      <c r="L17" s="21">
        <f t="shared" si="5"/>
        <v>8.5416129863437246E-2</v>
      </c>
      <c r="M17" s="21">
        <f t="shared" si="5"/>
        <v>7.6831800652625321E-2</v>
      </c>
      <c r="N17" s="21">
        <f t="shared" si="5"/>
        <v>6.9809166530745384E-2</v>
      </c>
      <c r="O17" s="21">
        <f t="shared" si="5"/>
        <v>7.7992390986245247E-2</v>
      </c>
      <c r="P17" s="21">
        <f t="shared" si="5"/>
        <v>9.1502340757554271E-2</v>
      </c>
      <c r="Q17" s="21">
        <f>+Q16/Q12</f>
        <v>6.716981132075471E-2</v>
      </c>
    </row>
    <row r="18" spans="1:22" s="24" customFormat="1"/>
    <row r="19" spans="1:22"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row>
    <row r="20" spans="1:22"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S20" s="87"/>
    </row>
    <row r="21" spans="1:22"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S21" s="134"/>
      <c r="T21" s="134"/>
      <c r="V21" s="144"/>
    </row>
    <row r="22" spans="1:22" s="17" customFormat="1">
      <c r="A22" s="17" t="s">
        <v>58</v>
      </c>
      <c r="B22" s="27">
        <f>388-C22-E22-D22</f>
        <v>80.300000000000011</v>
      </c>
      <c r="C22" s="27">
        <v>115</v>
      </c>
      <c r="D22" s="27">
        <v>108</v>
      </c>
      <c r="E22" s="27">
        <v>84.7</v>
      </c>
      <c r="F22" s="27">
        <f>276-G22-H22-I22</f>
        <v>60.6</v>
      </c>
      <c r="G22" s="27">
        <v>77</v>
      </c>
      <c r="H22" s="27">
        <v>84.8</v>
      </c>
      <c r="I22" s="27">
        <v>53.6</v>
      </c>
      <c r="J22" s="27">
        <f>SUM(J16,J19:J21)</f>
        <v>37.000000000000014</v>
      </c>
      <c r="K22" s="27">
        <v>45.5</v>
      </c>
      <c r="L22" s="27">
        <v>66.3</v>
      </c>
      <c r="M22" s="27">
        <v>51.8</v>
      </c>
      <c r="N22" s="27">
        <f>SUM(N16,N19:N21)</f>
        <v>42.8</v>
      </c>
      <c r="O22" s="27">
        <v>53.3</v>
      </c>
      <c r="P22" s="27">
        <v>64.5</v>
      </c>
      <c r="Q22" s="27">
        <v>44.5</v>
      </c>
    </row>
    <row r="23" spans="1:22" s="17" customFormat="1">
      <c r="B23" s="21"/>
      <c r="C23" s="21"/>
      <c r="D23" s="21"/>
      <c r="E23" s="21"/>
      <c r="F23" s="27"/>
      <c r="G23" s="27"/>
      <c r="H23" s="27"/>
      <c r="I23" s="27"/>
      <c r="J23" s="27"/>
      <c r="K23" s="27"/>
      <c r="L23" s="27"/>
      <c r="M23" s="27"/>
      <c r="N23" s="27"/>
      <c r="O23" s="27"/>
      <c r="P23" s="27"/>
      <c r="Q23" s="27"/>
      <c r="S23" s="87"/>
    </row>
    <row r="24" spans="1:22" s="17" customFormat="1">
      <c r="A24" s="17" t="s">
        <v>59</v>
      </c>
      <c r="B24" s="27">
        <f t="shared" ref="B24:M24" si="6">SUM(B22:E22)</f>
        <v>388</v>
      </c>
      <c r="C24" s="27">
        <f t="shared" si="6"/>
        <v>368.3</v>
      </c>
      <c r="D24" s="27">
        <f t="shared" si="6"/>
        <v>330.29999999999995</v>
      </c>
      <c r="E24" s="27">
        <f t="shared" si="6"/>
        <v>307.10000000000002</v>
      </c>
      <c r="F24" s="27">
        <f t="shared" si="6"/>
        <v>276</v>
      </c>
      <c r="G24" s="27">
        <f t="shared" si="6"/>
        <v>252.40000000000003</v>
      </c>
      <c r="H24" s="27">
        <f>SUM(H22:K22)</f>
        <v>220.90000000000003</v>
      </c>
      <c r="I24" s="27">
        <f t="shared" si="6"/>
        <v>202.40000000000003</v>
      </c>
      <c r="J24" s="27">
        <f t="shared" si="6"/>
        <v>200.60000000000002</v>
      </c>
      <c r="K24" s="27">
        <f t="shared" si="6"/>
        <v>206.39999999999998</v>
      </c>
      <c r="L24" s="27">
        <f t="shared" si="6"/>
        <v>214.2</v>
      </c>
      <c r="M24" s="27">
        <f t="shared" si="6"/>
        <v>212.39999999999998</v>
      </c>
      <c r="N24" s="27"/>
      <c r="O24" s="27"/>
      <c r="P24" s="27"/>
      <c r="Q24" s="27"/>
    </row>
    <row r="25" spans="1:22" s="24" customFormat="1">
      <c r="A25" s="19" t="s">
        <v>60</v>
      </c>
      <c r="B25" s="28">
        <v>0</v>
      </c>
      <c r="C25" s="28">
        <v>0</v>
      </c>
      <c r="D25" s="28">
        <v>0</v>
      </c>
      <c r="E25" s="28">
        <v>0</v>
      </c>
      <c r="F25" s="28">
        <v>0</v>
      </c>
      <c r="G25" s="28">
        <v>0</v>
      </c>
      <c r="H25" s="28">
        <f>I25*3/4</f>
        <v>27.449999999999974</v>
      </c>
      <c r="I25" s="28">
        <f>239-I24</f>
        <v>36.599999999999966</v>
      </c>
      <c r="J25" s="28">
        <v>0</v>
      </c>
      <c r="K25" s="28">
        <v>0</v>
      </c>
      <c r="L25" s="28">
        <v>0</v>
      </c>
      <c r="M25" s="28">
        <v>0</v>
      </c>
      <c r="N25" s="28"/>
      <c r="O25" s="28"/>
      <c r="P25" s="28"/>
      <c r="Q25" s="28"/>
    </row>
    <row r="26" spans="1:22" s="24" customFormat="1">
      <c r="A26" s="19" t="s">
        <v>61</v>
      </c>
      <c r="B26" s="29">
        <v>0</v>
      </c>
      <c r="C26" s="29">
        <v>0</v>
      </c>
      <c r="D26" s="29">
        <v>0</v>
      </c>
      <c r="E26" s="29">
        <v>0</v>
      </c>
      <c r="F26" s="29">
        <v>0</v>
      </c>
      <c r="G26" s="29">
        <v>0</v>
      </c>
      <c r="H26" s="29">
        <v>0</v>
      </c>
      <c r="I26" s="29">
        <v>0</v>
      </c>
      <c r="J26" s="29">
        <v>0</v>
      </c>
      <c r="K26" s="29">
        <v>0</v>
      </c>
      <c r="L26" s="29">
        <v>0</v>
      </c>
      <c r="M26" s="29">
        <v>0</v>
      </c>
      <c r="N26" s="30"/>
      <c r="O26" s="30"/>
      <c r="P26" s="30"/>
      <c r="Q26" s="30"/>
    </row>
    <row r="27" spans="1:22" s="32" customFormat="1">
      <c r="A27" s="17" t="s">
        <v>62</v>
      </c>
      <c r="B27" s="27">
        <f t="shared" ref="B27:C27" si="7">SUM(B24:B26)</f>
        <v>388</v>
      </c>
      <c r="C27" s="27">
        <f t="shared" si="7"/>
        <v>368.3</v>
      </c>
      <c r="D27" s="27">
        <f t="shared" ref="D27:E27" si="8">SUM(D24:D26)</f>
        <v>330.29999999999995</v>
      </c>
      <c r="E27" s="27">
        <f t="shared" si="8"/>
        <v>307.10000000000002</v>
      </c>
      <c r="F27" s="27">
        <f t="shared" ref="F27:M27" si="9">SUM(F24:F26)</f>
        <v>276</v>
      </c>
      <c r="G27" s="27">
        <f t="shared" si="9"/>
        <v>252.40000000000003</v>
      </c>
      <c r="H27" s="27">
        <f t="shared" si="9"/>
        <v>248.35000000000002</v>
      </c>
      <c r="I27" s="27">
        <f t="shared" si="9"/>
        <v>239</v>
      </c>
      <c r="J27" s="27">
        <f t="shared" si="9"/>
        <v>200.60000000000002</v>
      </c>
      <c r="K27" s="27">
        <f t="shared" si="9"/>
        <v>206.39999999999998</v>
      </c>
      <c r="L27" s="27">
        <f t="shared" si="9"/>
        <v>214.2</v>
      </c>
      <c r="M27" s="27">
        <f t="shared" si="9"/>
        <v>212.39999999999998</v>
      </c>
      <c r="N27" s="31"/>
      <c r="O27" s="31"/>
      <c r="P27" s="31"/>
      <c r="Q27" s="31"/>
    </row>
    <row r="28" spans="1:22" s="24" customFormat="1"/>
    <row r="29" spans="1:22" s="17" customFormat="1">
      <c r="A29" s="17" t="s">
        <v>58</v>
      </c>
      <c r="B29" s="27">
        <f t="shared" ref="B29" si="10">B22</f>
        <v>80.300000000000011</v>
      </c>
      <c r="C29" s="27">
        <f t="shared" ref="C29:D29" si="11">C22</f>
        <v>115</v>
      </c>
      <c r="D29" s="27">
        <f t="shared" si="11"/>
        <v>108</v>
      </c>
      <c r="E29" s="27">
        <f t="shared" ref="E29:P29" si="12">E22</f>
        <v>84.7</v>
      </c>
      <c r="F29" s="27">
        <f t="shared" si="12"/>
        <v>60.6</v>
      </c>
      <c r="G29" s="27">
        <f t="shared" si="12"/>
        <v>77</v>
      </c>
      <c r="H29" s="27">
        <f t="shared" si="12"/>
        <v>84.8</v>
      </c>
      <c r="I29" s="27">
        <f t="shared" si="12"/>
        <v>53.6</v>
      </c>
      <c r="J29" s="27">
        <f t="shared" si="12"/>
        <v>37.000000000000014</v>
      </c>
      <c r="K29" s="27">
        <f t="shared" si="12"/>
        <v>45.5</v>
      </c>
      <c r="L29" s="27">
        <f t="shared" si="12"/>
        <v>66.3</v>
      </c>
      <c r="M29" s="27">
        <f t="shared" si="12"/>
        <v>51.8</v>
      </c>
      <c r="N29" s="27">
        <f t="shared" si="12"/>
        <v>42.8</v>
      </c>
      <c r="O29" s="27">
        <f t="shared" si="12"/>
        <v>53.3</v>
      </c>
      <c r="P29" s="27">
        <f t="shared" si="12"/>
        <v>64.5</v>
      </c>
      <c r="Q29" s="27">
        <f>Q22</f>
        <v>44.5</v>
      </c>
    </row>
    <row r="30" spans="1:22" s="33" customFormat="1">
      <c r="A30" s="20" t="s">
        <v>63</v>
      </c>
      <c r="B30" s="20">
        <f>-156.6-C30-D30-E30</f>
        <v>-44.499999999999986</v>
      </c>
      <c r="C30" s="20">
        <f>-118.9+6.8-D30-E30</f>
        <v>-36.900000000000006</v>
      </c>
      <c r="D30" s="20">
        <f>-79.8+4.6-E30</f>
        <v>-38.200000000000003</v>
      </c>
      <c r="E30" s="20">
        <f>-39.3+2.3</f>
        <v>-37</v>
      </c>
      <c r="F30" s="20">
        <f>-135.4-G30-H30-I30</f>
        <v>-33</v>
      </c>
      <c r="G30" s="20">
        <f>-106+3.6-H30-I30</f>
        <v>-35.200000000000003</v>
      </c>
      <c r="H30" s="20">
        <f>-68.5+1.3-I30</f>
        <v>-34.100000000000009</v>
      </c>
      <c r="I30" s="20">
        <f>-33.8+0.7</f>
        <v>-33.099999999999994</v>
      </c>
      <c r="J30" s="20">
        <f>-130.2-M30-L30-K30</f>
        <v>-41.899999999999977</v>
      </c>
      <c r="K30" s="20">
        <f>-90.4+2.1-M30-L30</f>
        <v>-31.300000000000015</v>
      </c>
      <c r="L30" s="20">
        <f>-58.4+1.4-M30</f>
        <v>-30.7</v>
      </c>
      <c r="M30" s="20">
        <f>-27.1+0.8</f>
        <v>-26.3</v>
      </c>
      <c r="N30" s="20">
        <f>-100.9-Q30-P30-O30</f>
        <v>-46.8</v>
      </c>
      <c r="O30" s="20">
        <f>-58.4+4.3-Q30-P30</f>
        <v>-17.799999999999997</v>
      </c>
      <c r="P30" s="20">
        <f>-39.2+2.9-Q30</f>
        <v>-19.800000000000004</v>
      </c>
      <c r="Q30" s="20">
        <f>-18.1+1.6</f>
        <v>-16.5</v>
      </c>
    </row>
    <row r="31" spans="1:22" s="33" customFormat="1">
      <c r="A31" s="20" t="s">
        <v>64</v>
      </c>
      <c r="B31" s="20">
        <f>-37.4-C31-D31-E31</f>
        <v>-20.3</v>
      </c>
      <c r="C31" s="20">
        <f>-23.9+6.8-D31-E31</f>
        <v>-3.3999999999999986</v>
      </c>
      <c r="D31" s="20">
        <f>-18.9+5.2-E31</f>
        <v>-4.3999999999999986</v>
      </c>
      <c r="E31" s="20">
        <f>-11.5+2.2</f>
        <v>-9.3000000000000007</v>
      </c>
      <c r="F31" s="20">
        <f>-15.4-G31-H31-I31</f>
        <v>-5.7000000000000011</v>
      </c>
      <c r="G31" s="20">
        <f>-14.7+5-H31-I31</f>
        <v>-2.199999999999998</v>
      </c>
      <c r="H31" s="20">
        <f>-9.3+1.8-I31</f>
        <v>-3.7000000000000006</v>
      </c>
      <c r="I31" s="20">
        <f>-5.4+1.6</f>
        <v>-3.8000000000000003</v>
      </c>
      <c r="J31" s="20">
        <f>-8.5-M31-L31-K31</f>
        <v>2.7000000000000011</v>
      </c>
      <c r="K31" s="20">
        <f>-25.1+13.9-M31-L31</f>
        <v>-2.1000000000000014</v>
      </c>
      <c r="L31" s="20">
        <f>-23.5+14.4-M31</f>
        <v>-4.5</v>
      </c>
      <c r="M31" s="20">
        <f>-10.7+6.1</f>
        <v>-4.5999999999999996</v>
      </c>
      <c r="N31" s="20">
        <f>-29.5-Q31-P31-O31</f>
        <v>-14.3</v>
      </c>
      <c r="O31" s="20">
        <f>-30.5+15.3-Q31-P31</f>
        <v>-5.0000000000000009</v>
      </c>
      <c r="P31" s="20">
        <f>-18.2+8-Q31</f>
        <v>-4.8</v>
      </c>
      <c r="Q31" s="20">
        <f>-8.7+3.3</f>
        <v>-5.3999999999999995</v>
      </c>
    </row>
    <row r="32" spans="1:22" s="33" customFormat="1">
      <c r="A32" s="20" t="s">
        <v>65</v>
      </c>
      <c r="B32" s="20">
        <f>-18.2-2.7-13.6-90.9-22.2-C32-D32-E32</f>
        <v>45.599999999999994</v>
      </c>
      <c r="C32" s="20">
        <f>-96.6+4.9-22-61.5-18-D32-E32</f>
        <v>-60.900000000000006</v>
      </c>
      <c r="D32" s="20">
        <f>-87.6+7.9+0.9-40.3-13.2-E32</f>
        <v>16.000000000000028</v>
      </c>
      <c r="E32" s="20">
        <f>-108.4+5.8-3.9-9.8-32</f>
        <v>-148.30000000000001</v>
      </c>
      <c r="F32" s="20">
        <f>-45.7-183.5+9.9+84.7+70.5-G32-H32-I32</f>
        <v>89.800000000000011</v>
      </c>
      <c r="G32" s="20">
        <f>-146-135.7+4.7+76.9+46.2-H32-I32</f>
        <v>9.9000000000000057</v>
      </c>
      <c r="H32" s="20">
        <f>-134.5-104+1.6+41.7+31.4-I32</f>
        <v>-121.09999999999997</v>
      </c>
      <c r="I32" s="20">
        <f>-84.4-60.9-18.4+44.9+76.1</f>
        <v>-42.700000000000017</v>
      </c>
      <c r="J32" s="20">
        <f>-5.7-58.4+3.9+33.7+18.2-M32-L32-K32</f>
        <v>31.000000000000007</v>
      </c>
      <c r="K32" s="20">
        <f>-60.2-53+6.2+35.8+31.9-M32-L32</f>
        <v>54.099999999999987</v>
      </c>
      <c r="L32" s="20">
        <f>-67.8-58.3+6+24.3+2.4-M32</f>
        <v>-47.999999999999986</v>
      </c>
      <c r="M32" s="20">
        <f>-50.4-66.9-0.6+43.8+28.7</f>
        <v>-45.400000000000006</v>
      </c>
      <c r="N32" s="20">
        <f>-9.4-70.2-1.4+41.7-14-Q32-P32-O32</f>
        <v>-39.300000000000011</v>
      </c>
      <c r="O32" s="20">
        <f>-60.2-9.5+0.7+47.2+7.8-Q32-P32</f>
        <v>-10.499999999999996</v>
      </c>
      <c r="P32" s="20">
        <f>-53.3+3.8+3.4+46.1-3.5-Q32</f>
        <v>2.6999999999999984</v>
      </c>
      <c r="Q32" s="20">
        <f>-55.9+5.1+4.3+46.1-5.8</f>
        <v>-6.1999999999999984</v>
      </c>
    </row>
    <row r="33" spans="1:21"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row>
    <row r="34" spans="1:21"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v>0</v>
      </c>
    </row>
    <row r="35" spans="1:21" s="27" customFormat="1">
      <c r="A35" s="27" t="s">
        <v>67</v>
      </c>
      <c r="B35" s="27">
        <f>46.7-C35-D35-E35</f>
        <v>73</v>
      </c>
      <c r="C35" s="27">
        <f>-26.3-D35-E35</f>
        <v>13.200000000000003</v>
      </c>
      <c r="D35" s="27">
        <f>-39.5-E35</f>
        <v>73</v>
      </c>
      <c r="E35" s="27">
        <v>-112.5</v>
      </c>
      <c r="F35" s="27">
        <f>22.3-G35-H35-I35</f>
        <v>89.700000000000017</v>
      </c>
      <c r="G35" s="27">
        <f>-67.4-H35-I35</f>
        <v>39.499999999999993</v>
      </c>
      <c r="H35" s="27">
        <f>-106.9-I35</f>
        <v>-72</v>
      </c>
      <c r="I35" s="27">
        <v>-34.9</v>
      </c>
      <c r="J35" s="27">
        <f>-31.4-M35-L35-K35</f>
        <v>1.1000000000000014</v>
      </c>
      <c r="K35" s="27">
        <f>-32.5-M35-L35</f>
        <v>42.599999999999994</v>
      </c>
      <c r="L35" s="27">
        <f>-75.1-M35</f>
        <v>-36.499999999999993</v>
      </c>
      <c r="M35" s="27">
        <v>-38.6</v>
      </c>
      <c r="N35" s="27">
        <f>12-Q35-P35-O35</f>
        <v>-34.600000000000009</v>
      </c>
      <c r="O35" s="27">
        <f>46.6-Q35-P35</f>
        <v>2.1000000000000085</v>
      </c>
      <c r="P35" s="27">
        <f>44.5-Q35</f>
        <v>33.299999999999997</v>
      </c>
      <c r="Q35" s="27">
        <v>11.2</v>
      </c>
    </row>
    <row r="36" spans="1:21" s="33" customFormat="1">
      <c r="A36" s="20" t="s">
        <v>68</v>
      </c>
      <c r="B36" s="29">
        <f>-125.7-C36-D36-E36</f>
        <v>-52.100000000000009</v>
      </c>
      <c r="C36" s="29">
        <f>-73.6-D36-E36</f>
        <v>-19.899999999999991</v>
      </c>
      <c r="D36" s="29">
        <f>-53.7-E36</f>
        <v>-20</v>
      </c>
      <c r="E36" s="29">
        <v>-33.700000000000003</v>
      </c>
      <c r="F36" s="29">
        <f>-108.2-G36-H36-I36</f>
        <v>-31.900000000000006</v>
      </c>
      <c r="G36" s="29">
        <f>-76.3-H36-I36</f>
        <v>-24.799999999999997</v>
      </c>
      <c r="H36" s="29">
        <f>-51.5-I36</f>
        <v>-21.4</v>
      </c>
      <c r="I36" s="29">
        <v>-30.1</v>
      </c>
      <c r="J36" s="29">
        <f>-207.7-M36-L36-K36</f>
        <v>-32.799999999999976</v>
      </c>
      <c r="K36" s="29">
        <f>-174.9-M36-L36</f>
        <v>-56.900000000000013</v>
      </c>
      <c r="L36" s="29">
        <f>-118-M36</f>
        <v>-55.4</v>
      </c>
      <c r="M36" s="29">
        <v>-62.6</v>
      </c>
      <c r="N36" s="29">
        <f>-358.1-Q36-P36-O36</f>
        <v>-62.400000000000034</v>
      </c>
      <c r="O36" s="29">
        <f>-295.7-Q36-P36</f>
        <v>-73.599999999999994</v>
      </c>
      <c r="P36" s="29">
        <f>-222.1-Q36</f>
        <v>-100.1</v>
      </c>
      <c r="Q36" s="29">
        <v>-122</v>
      </c>
    </row>
    <row r="37" spans="1:21" s="27" customFormat="1">
      <c r="A37" s="27" t="s">
        <v>69</v>
      </c>
      <c r="B37" s="27">
        <f t="shared" ref="B37:I37" si="13">+B35+B36</f>
        <v>20.899999999999991</v>
      </c>
      <c r="C37" s="27">
        <f t="shared" si="13"/>
        <v>-6.6999999999999886</v>
      </c>
      <c r="D37" s="27">
        <f t="shared" si="13"/>
        <v>53</v>
      </c>
      <c r="E37" s="27">
        <f t="shared" si="13"/>
        <v>-146.19999999999999</v>
      </c>
      <c r="F37" s="27">
        <f t="shared" si="13"/>
        <v>57.800000000000011</v>
      </c>
      <c r="G37" s="27">
        <f t="shared" si="13"/>
        <v>14.699999999999996</v>
      </c>
      <c r="H37" s="27">
        <f t="shared" si="13"/>
        <v>-93.4</v>
      </c>
      <c r="I37" s="27">
        <f t="shared" si="13"/>
        <v>-65</v>
      </c>
      <c r="J37" s="27">
        <f t="shared" ref="J37:P37" si="14">+J35+J36</f>
        <v>-31.699999999999974</v>
      </c>
      <c r="K37" s="27">
        <f t="shared" si="14"/>
        <v>-14.300000000000018</v>
      </c>
      <c r="L37" s="27">
        <f t="shared" si="14"/>
        <v>-91.899999999999991</v>
      </c>
      <c r="M37" s="27">
        <f t="shared" si="14"/>
        <v>-101.2</v>
      </c>
      <c r="N37" s="27">
        <f t="shared" si="14"/>
        <v>-97.000000000000043</v>
      </c>
      <c r="O37" s="27">
        <f t="shared" si="14"/>
        <v>-71.499999999999986</v>
      </c>
      <c r="P37" s="27">
        <f t="shared" si="14"/>
        <v>-66.8</v>
      </c>
      <c r="Q37" s="27">
        <f>+Q35+Q36</f>
        <v>-110.8</v>
      </c>
    </row>
    <row r="39" spans="1:21" s="35" customFormat="1">
      <c r="A39" s="34" t="s">
        <v>70</v>
      </c>
      <c r="B39" s="20">
        <v>304.89999999999998</v>
      </c>
      <c r="C39" s="20">
        <v>308.7</v>
      </c>
      <c r="D39" s="20">
        <v>325.5</v>
      </c>
      <c r="E39" s="20">
        <v>377.3</v>
      </c>
      <c r="F39" s="20">
        <v>253.7</v>
      </c>
      <c r="G39" s="20">
        <v>251</v>
      </c>
      <c r="H39" s="20">
        <v>264</v>
      </c>
      <c r="I39" s="20">
        <v>186</v>
      </c>
      <c r="J39" s="20">
        <v>319.3</v>
      </c>
      <c r="K39" s="20">
        <f>245+6.6+0.1</f>
        <v>251.7</v>
      </c>
      <c r="L39" s="20">
        <f>200.7+12.6+0.1</f>
        <v>213.39999999999998</v>
      </c>
      <c r="M39" s="20">
        <f>120.7+21.9+0.1</f>
        <v>142.69999999999999</v>
      </c>
      <c r="N39" s="20"/>
      <c r="O39" s="20"/>
      <c r="P39" s="20"/>
      <c r="Q39" s="20"/>
      <c r="S39" s="33"/>
      <c r="U39" s="33"/>
    </row>
    <row r="40" spans="1:21" s="35" customFormat="1">
      <c r="A40" s="34" t="s">
        <v>71</v>
      </c>
      <c r="B40" s="20">
        <f>1065+18.5</f>
        <v>1083.5</v>
      </c>
      <c r="C40" s="20">
        <f>1066.2+20</f>
        <v>1086.2</v>
      </c>
      <c r="D40" s="20">
        <f>1067.5+21.5</f>
        <v>1089</v>
      </c>
      <c r="E40" s="20">
        <f>1068.8+22.9</f>
        <v>1091.7</v>
      </c>
      <c r="F40" s="20">
        <f>1070.2+24.3</f>
        <v>1094.5</v>
      </c>
      <c r="G40" s="20">
        <v>1097</v>
      </c>
      <c r="H40" s="20">
        <v>1100</v>
      </c>
      <c r="I40" s="20">
        <v>1100</v>
      </c>
      <c r="J40" s="20">
        <f>169.8+0.5+800.8+0.8</f>
        <v>971.89999999999986</v>
      </c>
      <c r="K40" s="20">
        <f>166.8+0.5+800.8+0.8</f>
        <v>968.89999999999986</v>
      </c>
      <c r="L40" s="20">
        <f>800.9+0.9+164.9+0.5</f>
        <v>967.19999999999993</v>
      </c>
      <c r="M40" s="20">
        <f>801+1+163.8+0.5</f>
        <v>966.3</v>
      </c>
      <c r="N40" s="20"/>
      <c r="O40" s="20"/>
      <c r="P40" s="20"/>
      <c r="Q40" s="20"/>
      <c r="S40" s="33"/>
      <c r="U40" s="33"/>
    </row>
    <row r="41" spans="1:21" s="35" customFormat="1">
      <c r="A41" s="34" t="s">
        <v>72</v>
      </c>
      <c r="B41" s="20">
        <f>B39+B40+394.2+5.8+44.7+0.2+148.6+0.3</f>
        <v>1982.2</v>
      </c>
      <c r="C41" s="20">
        <f>C39+C40+393.8+6.2+44.7+0.1+145.7+0.3</f>
        <v>1985.7</v>
      </c>
      <c r="D41" s="20">
        <f>D39+D40+393.3+6.7+44.7+0.1+154+0.4</f>
        <v>2013.7</v>
      </c>
      <c r="E41" s="20">
        <f>E39+E40+392.9+7.1+44.6+0.2+156.9+0.4</f>
        <v>2071.1</v>
      </c>
      <c r="F41" s="20">
        <f>F39+F40+392.5+7.5+44.6+0.2+10.1+157.2+0.4</f>
        <v>1960.7</v>
      </c>
      <c r="G41" s="20">
        <f>G39+G40+400+158+8</f>
        <v>1914</v>
      </c>
      <c r="H41" s="20">
        <f>H39+H40+400+164+9</f>
        <v>1937</v>
      </c>
      <c r="I41" s="20">
        <f>I39+I40+400+54+173</f>
        <v>1913</v>
      </c>
      <c r="J41" s="20">
        <f>J39+J40+436.7+3.3+44.5+0.3+9.4</f>
        <v>1785.3999999999999</v>
      </c>
      <c r="K41" s="20">
        <f>K39+K40+436.4+3.6+44.5+0.3+9.9</f>
        <v>1715.3</v>
      </c>
      <c r="L41" s="20">
        <f>L39+L40+436.1+3.9+44.5+0.3+7.3</f>
        <v>1672.6999999999998</v>
      </c>
      <c r="M41" s="20">
        <f>M39+M40+435.8+4.2+44.4+0.4+5.7</f>
        <v>1599.5000000000002</v>
      </c>
      <c r="N41" s="20"/>
      <c r="O41" s="20"/>
      <c r="P41" s="20"/>
      <c r="Q41" s="20"/>
      <c r="S41" s="33"/>
      <c r="U41" s="33"/>
    </row>
    <row r="42" spans="1:21" s="35" customFormat="1">
      <c r="A42" s="34" t="s">
        <v>73</v>
      </c>
      <c r="B42" s="36"/>
      <c r="C42" s="36"/>
      <c r="D42" s="36"/>
      <c r="E42" s="36"/>
      <c r="F42" s="36"/>
      <c r="G42" s="36"/>
      <c r="H42" s="36"/>
      <c r="I42" s="36"/>
      <c r="J42" s="36"/>
      <c r="K42" s="36"/>
      <c r="L42" s="36"/>
      <c r="M42" s="36"/>
      <c r="N42" s="36"/>
      <c r="O42" s="36"/>
      <c r="P42" s="36"/>
      <c r="Q42" s="36"/>
    </row>
    <row r="43" spans="1:21">
      <c r="B43" s="35"/>
      <c r="C43" s="35"/>
      <c r="D43" s="35"/>
      <c r="E43" s="35"/>
      <c r="F43" s="35"/>
      <c r="G43" s="35"/>
      <c r="H43" s="35"/>
      <c r="I43" s="35"/>
      <c r="J43" s="35"/>
      <c r="K43" s="35"/>
    </row>
    <row r="44" spans="1:21">
      <c r="A44" s="19" t="s">
        <v>74</v>
      </c>
      <c r="B44" s="28">
        <v>54.6</v>
      </c>
      <c r="C44" s="28">
        <v>44.7</v>
      </c>
      <c r="D44" s="28">
        <v>77.2</v>
      </c>
      <c r="E44" s="28">
        <v>79.8</v>
      </c>
      <c r="F44" s="28">
        <v>108.6</v>
      </c>
      <c r="G44" s="28">
        <v>56.7</v>
      </c>
      <c r="H44" s="28">
        <v>65.900000000000006</v>
      </c>
      <c r="I44" s="28">
        <v>56</v>
      </c>
      <c r="J44" s="28">
        <v>102.4</v>
      </c>
      <c r="K44" s="28">
        <v>71.900000000000006</v>
      </c>
      <c r="L44" s="28">
        <v>52.3</v>
      </c>
      <c r="M44" s="28">
        <v>74.599999999999994</v>
      </c>
      <c r="N44" s="57"/>
      <c r="O44" s="57"/>
      <c r="P44" s="57"/>
      <c r="Q44" s="57"/>
    </row>
    <row r="46" spans="1:21">
      <c r="A46" s="14" t="s">
        <v>75</v>
      </c>
      <c r="B46" s="33">
        <f t="shared" ref="B46:M46" si="15">SUM(B12:E12)</f>
        <v>3375.9000000000005</v>
      </c>
      <c r="C46" s="33">
        <f t="shared" si="15"/>
        <v>3452.2000000000007</v>
      </c>
      <c r="D46" s="33">
        <f t="shared" si="15"/>
        <v>3506.7000000000007</v>
      </c>
      <c r="E46" s="33">
        <f t="shared" si="15"/>
        <v>3520.6000000000004</v>
      </c>
      <c r="F46" s="33">
        <f t="shared" si="15"/>
        <v>3445.9000000000005</v>
      </c>
      <c r="G46" s="33">
        <f t="shared" si="15"/>
        <v>3338.3</v>
      </c>
      <c r="H46" s="33">
        <f t="shared" si="15"/>
        <v>3139.8</v>
      </c>
      <c r="I46" s="33">
        <f t="shared" si="15"/>
        <v>2985.4000000000005</v>
      </c>
      <c r="J46" s="33">
        <f t="shared" si="15"/>
        <v>2857.3</v>
      </c>
      <c r="K46" s="33">
        <f t="shared" si="15"/>
        <v>2776.2999999999997</v>
      </c>
      <c r="L46" s="33">
        <f t="shared" si="15"/>
        <v>2746.9</v>
      </c>
      <c r="M46" s="33">
        <f t="shared" si="15"/>
        <v>2675.6000000000004</v>
      </c>
    </row>
    <row r="47" spans="1:21">
      <c r="A47" s="14" t="s">
        <v>76</v>
      </c>
      <c r="B47" s="33">
        <f t="shared" ref="B47" si="16">+B27</f>
        <v>388</v>
      </c>
      <c r="C47" s="33">
        <f t="shared" ref="C47:D47" si="17">+C27</f>
        <v>368.3</v>
      </c>
      <c r="D47" s="33">
        <f t="shared" si="17"/>
        <v>330.29999999999995</v>
      </c>
      <c r="E47" s="33">
        <f t="shared" ref="E47:F47" si="18">+E27</f>
        <v>307.10000000000002</v>
      </c>
      <c r="F47" s="33">
        <f t="shared" si="18"/>
        <v>276</v>
      </c>
      <c r="G47" s="33">
        <f t="shared" ref="G47:M47" si="19">+G27</f>
        <v>252.40000000000003</v>
      </c>
      <c r="H47" s="33">
        <f t="shared" si="19"/>
        <v>248.35000000000002</v>
      </c>
      <c r="I47" s="33">
        <f t="shared" si="19"/>
        <v>239</v>
      </c>
      <c r="J47" s="33">
        <f t="shared" si="19"/>
        <v>200.60000000000002</v>
      </c>
      <c r="K47" s="33">
        <f t="shared" si="19"/>
        <v>206.39999999999998</v>
      </c>
      <c r="L47" s="33">
        <f t="shared" si="19"/>
        <v>214.2</v>
      </c>
      <c r="M47" s="33">
        <f t="shared" si="19"/>
        <v>212.39999999999998</v>
      </c>
    </row>
    <row r="48" spans="1:21">
      <c r="A48" s="14" t="s">
        <v>77</v>
      </c>
      <c r="B48" s="33">
        <f t="shared" ref="B48:M48" si="20">+SUM(B37:E37)</f>
        <v>-78.999999999999986</v>
      </c>
      <c r="C48" s="33">
        <f t="shared" si="20"/>
        <v>-42.099999999999966</v>
      </c>
      <c r="D48" s="33">
        <f t="shared" si="20"/>
        <v>-20.699999999999982</v>
      </c>
      <c r="E48" s="33">
        <f t="shared" si="20"/>
        <v>-167.1</v>
      </c>
      <c r="F48" s="33">
        <f t="shared" si="20"/>
        <v>-85.9</v>
      </c>
      <c r="G48" s="33">
        <f t="shared" si="20"/>
        <v>-175.39999999999998</v>
      </c>
      <c r="H48" s="33">
        <f t="shared" si="20"/>
        <v>-204.39999999999998</v>
      </c>
      <c r="I48" s="33">
        <f t="shared" si="20"/>
        <v>-202.89999999999998</v>
      </c>
      <c r="J48" s="33">
        <f t="shared" si="20"/>
        <v>-239.09999999999997</v>
      </c>
      <c r="K48" s="33">
        <f t="shared" si="20"/>
        <v>-304.40000000000009</v>
      </c>
      <c r="L48" s="33">
        <f t="shared" si="20"/>
        <v>-361.6</v>
      </c>
      <c r="M48" s="33">
        <f t="shared" si="20"/>
        <v>-336.50000000000006</v>
      </c>
    </row>
    <row r="50" spans="1:17" s="37" customFormat="1">
      <c r="A50" s="37" t="s">
        <v>78</v>
      </c>
      <c r="B50" s="37">
        <f t="shared" ref="B50" si="21">+SUM(B39:B40)/B47</f>
        <v>3.5783505154639177</v>
      </c>
      <c r="C50" s="37">
        <f t="shared" ref="C50:D50" si="22">+SUM(C39:C40)/C47</f>
        <v>3.7874015748031495</v>
      </c>
      <c r="D50" s="37">
        <f t="shared" si="22"/>
        <v>4.2824704813805639</v>
      </c>
      <c r="E50" s="37">
        <f t="shared" ref="E50:F50" si="23">+SUM(E39:E40)/E47</f>
        <v>4.7834581569521326</v>
      </c>
      <c r="F50" s="37">
        <f t="shared" si="23"/>
        <v>4.8847826086956525</v>
      </c>
      <c r="G50" s="37">
        <f t="shared" ref="G50:M50" si="24">+SUM(G39:G40)/G47</f>
        <v>5.3407290015847853</v>
      </c>
      <c r="H50" s="37">
        <f t="shared" si="24"/>
        <v>5.4922488423595723</v>
      </c>
      <c r="I50" s="37">
        <f t="shared" si="24"/>
        <v>5.3807531380753142</v>
      </c>
      <c r="J50" s="37">
        <f t="shared" si="24"/>
        <v>6.4366899302093703</v>
      </c>
      <c r="K50" s="37">
        <f t="shared" si="24"/>
        <v>5.9137596899224807</v>
      </c>
      <c r="L50" s="37">
        <f t="shared" si="24"/>
        <v>5.5116713352007469</v>
      </c>
      <c r="M50" s="37">
        <f t="shared" si="24"/>
        <v>5.2212806026365355</v>
      </c>
    </row>
    <row r="51" spans="1:17" s="37" customFormat="1">
      <c r="A51" s="37" t="s">
        <v>79</v>
      </c>
      <c r="B51" s="37">
        <f t="shared" ref="B51" si="25">+B41/B47</f>
        <v>5.1087628865979386</v>
      </c>
      <c r="C51" s="37">
        <f t="shared" ref="C51:D51" si="26">+C41/C47</f>
        <v>5.3915286451262556</v>
      </c>
      <c r="D51" s="37">
        <f t="shared" si="26"/>
        <v>6.0965788676960351</v>
      </c>
      <c r="E51" s="37">
        <f t="shared" ref="E51:F51" si="27">+E41/E47</f>
        <v>6.7440573103223693</v>
      </c>
      <c r="F51" s="37">
        <f t="shared" si="27"/>
        <v>7.1039855072463771</v>
      </c>
      <c r="G51" s="37">
        <f t="shared" ref="G51:M51" si="28">+G41/G47</f>
        <v>7.5832012678288425</v>
      </c>
      <c r="H51" s="37">
        <f t="shared" si="28"/>
        <v>7.7994765451983081</v>
      </c>
      <c r="I51" s="37">
        <f t="shared" si="28"/>
        <v>8.00418410041841</v>
      </c>
      <c r="J51" s="37">
        <f t="shared" si="28"/>
        <v>8.9002991026919229</v>
      </c>
      <c r="K51" s="37">
        <f t="shared" si="28"/>
        <v>8.3105620155038764</v>
      </c>
      <c r="L51" s="37">
        <f t="shared" si="28"/>
        <v>7.8090569561157794</v>
      </c>
      <c r="M51" s="37">
        <f t="shared" si="28"/>
        <v>7.5306026365348417</v>
      </c>
    </row>
    <row r="52" spans="1:17" s="37" customFormat="1">
      <c r="A52" s="37" t="s">
        <v>80</v>
      </c>
      <c r="B52" s="37">
        <f t="shared" ref="B52" si="29">+(B41-B44)/B47</f>
        <v>4.9680412371134022</v>
      </c>
      <c r="C52" s="37">
        <f t="shared" ref="C52:D52" si="30">+(C41-C44)/C47</f>
        <v>5.2701601954928048</v>
      </c>
      <c r="D52" s="37">
        <f t="shared" si="30"/>
        <v>5.8628519527702094</v>
      </c>
      <c r="E52" s="37">
        <f t="shared" ref="E52:F52" si="31">+(E41-E44)/E47</f>
        <v>6.4842070986649292</v>
      </c>
      <c r="F52" s="37">
        <f t="shared" si="31"/>
        <v>6.7105072463768121</v>
      </c>
      <c r="G52" s="37">
        <f t="shared" ref="G52:M52" si="32">+(G41-G44)/G47</f>
        <v>7.3585578446909654</v>
      </c>
      <c r="H52" s="37">
        <f t="shared" si="32"/>
        <v>7.534125226494865</v>
      </c>
      <c r="I52" s="37">
        <f t="shared" si="32"/>
        <v>7.7698744769874475</v>
      </c>
      <c r="J52" s="37">
        <f t="shared" si="32"/>
        <v>8.3898305084745743</v>
      </c>
      <c r="K52" s="37">
        <f t="shared" si="32"/>
        <v>7.962209302325582</v>
      </c>
      <c r="L52" s="37">
        <f t="shared" si="32"/>
        <v>7.5648926237161529</v>
      </c>
      <c r="M52" s="37">
        <f t="shared" si="32"/>
        <v>7.179378531073449</v>
      </c>
    </row>
    <row r="53" spans="1:17" s="38" customFormat="1">
      <c r="A53" s="38" t="s">
        <v>81</v>
      </c>
      <c r="B53" s="38">
        <f t="shared" ref="B53" si="33">+B48/B41</f>
        <v>-3.9854706891332851E-2</v>
      </c>
      <c r="C53" s="38">
        <f t="shared" ref="C53:D53" si="34">+C48/C41</f>
        <v>-2.1201591378355221E-2</v>
      </c>
      <c r="D53" s="38">
        <f t="shared" si="34"/>
        <v>-1.0279584843819824E-2</v>
      </c>
      <c r="E53" s="38">
        <f t="shared" ref="E53:F53" si="35">+E48/E41</f>
        <v>-8.0681763314180865E-2</v>
      </c>
      <c r="F53" s="38">
        <f t="shared" si="35"/>
        <v>-4.3810883868006328E-2</v>
      </c>
      <c r="G53" s="38">
        <f t="shared" ref="G53:M53" si="36">+G48/G41</f>
        <v>-9.164054336468129E-2</v>
      </c>
      <c r="H53" s="38">
        <f t="shared" si="36"/>
        <v>-0.10552400619514712</v>
      </c>
      <c r="I53" s="38">
        <f t="shared" si="36"/>
        <v>-0.10606377417668582</v>
      </c>
      <c r="J53" s="38">
        <f t="shared" si="36"/>
        <v>-0.1339195698442926</v>
      </c>
      <c r="K53" s="38">
        <f t="shared" si="36"/>
        <v>-0.17746166851279666</v>
      </c>
      <c r="L53" s="38">
        <f t="shared" si="36"/>
        <v>-0.21617743767561431</v>
      </c>
      <c r="M53" s="38">
        <f t="shared" si="36"/>
        <v>-0.21037824320100032</v>
      </c>
    </row>
    <row r="54" spans="1:17" s="38" customFormat="1">
      <c r="A54" s="39" t="s">
        <v>82</v>
      </c>
      <c r="B54" s="40">
        <v>8</v>
      </c>
      <c r="C54" s="40">
        <v>8</v>
      </c>
      <c r="D54" s="40">
        <v>8</v>
      </c>
      <c r="E54" s="40">
        <v>8</v>
      </c>
      <c r="F54" s="40">
        <v>8</v>
      </c>
      <c r="G54" s="40">
        <v>8</v>
      </c>
      <c r="H54" s="40">
        <v>8</v>
      </c>
      <c r="I54" s="40">
        <v>8</v>
      </c>
      <c r="J54" s="40">
        <v>8</v>
      </c>
      <c r="K54" s="40">
        <v>8</v>
      </c>
      <c r="L54" s="40">
        <v>8</v>
      </c>
      <c r="M54" s="40">
        <v>8</v>
      </c>
      <c r="N54" s="39"/>
      <c r="O54" s="39"/>
      <c r="P54" s="39"/>
      <c r="Q54" s="39"/>
    </row>
    <row r="55" spans="1:17" s="38" customFormat="1">
      <c r="A55" s="38" t="s">
        <v>83</v>
      </c>
      <c r="B55" s="41" t="str">
        <f t="shared" ref="B55" si="37">IF(B42=0,IF(B54="","","*"&amp;TEXT(B54,"0.0x")),(B41+B42-B44)/B47)</f>
        <v>*8.0x</v>
      </c>
      <c r="C55" s="41" t="str">
        <f t="shared" ref="C55:D55" si="38">IF(C42=0,IF(C54="","","*"&amp;TEXT(C54,"0.0x")),(C41+C42-C44)/C47)</f>
        <v>*8.0x</v>
      </c>
      <c r="D55" s="41" t="str">
        <f t="shared" si="38"/>
        <v>*8.0x</v>
      </c>
      <c r="E55" s="41" t="str">
        <f t="shared" ref="E55:F55" si="39">IF(E42=0,IF(E54="","","*"&amp;TEXT(E54,"0.0x")),(E41+E42-E44)/E47)</f>
        <v>*8.0x</v>
      </c>
      <c r="F55" s="41" t="str">
        <f t="shared" si="39"/>
        <v>*8.0x</v>
      </c>
      <c r="G55" s="41" t="str">
        <f t="shared" ref="G55:M55" si="40">IF(G42=0,IF(G54="","","*"&amp;TEXT(G54,"0.0x")),(G41+G42-G44)/G47)</f>
        <v>*8.0x</v>
      </c>
      <c r="H55" s="41" t="str">
        <f t="shared" si="40"/>
        <v>*8.0x</v>
      </c>
      <c r="I55" s="41" t="str">
        <f t="shared" si="40"/>
        <v>*8.0x</v>
      </c>
      <c r="J55" s="41" t="str">
        <f t="shared" si="40"/>
        <v>*8.0x</v>
      </c>
      <c r="K55" s="41" t="str">
        <f t="shared" si="40"/>
        <v>*8.0x</v>
      </c>
      <c r="L55" s="41" t="str">
        <f t="shared" si="40"/>
        <v>*8.0x</v>
      </c>
      <c r="M55" s="41" t="str">
        <f t="shared" si="40"/>
        <v>*8.0x</v>
      </c>
      <c r="N55" s="41" t="str">
        <f>IF(N42=0,IF(N54="","",CONCATENATE("* ",N54,"x")),(N41+N42-N44)/N47)</f>
        <v/>
      </c>
      <c r="O55" s="41" t="str">
        <f>IF(O42=0,IF(O54="","",CONCATENATE("* ",O54,"x")),(O41+O42-O44)/O47)</f>
        <v/>
      </c>
      <c r="P55" s="41" t="str">
        <f>IF(P42=0,IF(P54="","",CONCATENATE("* ",P54,"x")),(P41+P42-P44)/P47)</f>
        <v/>
      </c>
      <c r="Q55" s="41" t="str">
        <f>IF(Q42=0,IF(Q54="","",CONCATENATE("* ",Q54,"x")),(Q41+Q42-Q44)/Q47)</f>
        <v/>
      </c>
    </row>
    <row r="56" spans="1:17">
      <c r="M56" s="42"/>
    </row>
    <row r="57" spans="1:17" ht="80.25" customHeight="1">
      <c r="A57" s="43" t="s">
        <v>84</v>
      </c>
      <c r="B57" s="44" t="s">
        <v>289</v>
      </c>
      <c r="C57" s="44" t="s">
        <v>289</v>
      </c>
      <c r="D57" s="44" t="s">
        <v>289</v>
      </c>
      <c r="E57" s="44" t="s">
        <v>289</v>
      </c>
      <c r="F57" s="44" t="s">
        <v>289</v>
      </c>
      <c r="G57" s="44"/>
      <c r="H57" s="44"/>
      <c r="I57" s="44" t="s">
        <v>94</v>
      </c>
      <c r="J57" s="44"/>
      <c r="K57" s="44"/>
      <c r="L57" s="44"/>
      <c r="M57" s="44"/>
      <c r="N57" s="44"/>
      <c r="O57" s="44"/>
      <c r="P57" s="44"/>
      <c r="Q57" s="44"/>
    </row>
    <row r="58" spans="1:17">
      <c r="A58" s="45"/>
      <c r="B58" s="42"/>
      <c r="C58" s="42"/>
      <c r="D58" s="42"/>
      <c r="E58" s="42"/>
      <c r="F58" s="42"/>
      <c r="G58" s="42"/>
      <c r="H58" s="42"/>
      <c r="I58" s="42"/>
    </row>
    <row r="59" spans="1:17">
      <c r="A59" s="45"/>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W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22" width="10.6640625" style="14" customWidth="1"/>
    <col min="23" max="16384" width="9.109375" style="14"/>
  </cols>
  <sheetData>
    <row r="2" spans="1:22">
      <c r="A2" s="13" t="s">
        <v>44</v>
      </c>
      <c r="B2" s="14" t="s">
        <v>508</v>
      </c>
    </row>
    <row r="3" spans="1:22" s="16" customFormat="1">
      <c r="A3" s="15" t="s">
        <v>45</v>
      </c>
      <c r="B3" s="16" t="s">
        <v>121</v>
      </c>
    </row>
    <row r="4" spans="1:22">
      <c r="A4" s="13" t="s">
        <v>2</v>
      </c>
      <c r="B4" s="14" t="s">
        <v>4</v>
      </c>
    </row>
    <row r="5" spans="1:22">
      <c r="A5" s="13" t="s">
        <v>46</v>
      </c>
    </row>
    <row r="6" spans="1:22">
      <c r="A6" s="13" t="s">
        <v>47</v>
      </c>
      <c r="B6" s="14">
        <v>3</v>
      </c>
    </row>
    <row r="7" spans="1:22">
      <c r="A7" s="13" t="s">
        <v>48</v>
      </c>
      <c r="B7" s="14" t="s">
        <v>243</v>
      </c>
    </row>
    <row r="8" spans="1:22">
      <c r="A8" s="13" t="s">
        <v>347</v>
      </c>
      <c r="B8" s="14" t="s">
        <v>399</v>
      </c>
    </row>
    <row r="9" spans="1:22">
      <c r="A9" s="17"/>
    </row>
    <row r="10" spans="1:22">
      <c r="A10" s="17" t="s">
        <v>49</v>
      </c>
      <c r="B10" s="18">
        <v>44104</v>
      </c>
      <c r="C10" s="18">
        <v>44012</v>
      </c>
      <c r="D10" s="18">
        <v>43921</v>
      </c>
      <c r="E10" s="18">
        <v>43830</v>
      </c>
      <c r="F10" s="18">
        <v>43738</v>
      </c>
      <c r="G10" s="18">
        <v>43646</v>
      </c>
      <c r="H10" s="18">
        <v>43555</v>
      </c>
      <c r="I10" s="18">
        <v>43465</v>
      </c>
      <c r="J10" s="18">
        <v>43373</v>
      </c>
      <c r="K10" s="18">
        <v>43281</v>
      </c>
      <c r="L10" s="18">
        <v>43190</v>
      </c>
      <c r="M10" s="18">
        <v>43099</v>
      </c>
      <c r="N10" s="18">
        <v>43008</v>
      </c>
      <c r="O10" s="18">
        <v>42916</v>
      </c>
      <c r="P10" s="18">
        <v>42825</v>
      </c>
      <c r="Q10" s="18">
        <v>42735</v>
      </c>
      <c r="R10" s="18">
        <v>42643</v>
      </c>
      <c r="S10" s="18">
        <v>42551</v>
      </c>
      <c r="T10" s="18">
        <v>42460</v>
      </c>
      <c r="U10" s="18">
        <v>42369</v>
      </c>
      <c r="V10" s="18">
        <v>42277</v>
      </c>
    </row>
    <row r="12" spans="1:22">
      <c r="A12" s="19" t="s">
        <v>50</v>
      </c>
      <c r="B12" s="20">
        <v>1328.29</v>
      </c>
      <c r="C12" s="20">
        <v>1137.6079999999999</v>
      </c>
      <c r="D12" s="20">
        <v>1007.148</v>
      </c>
      <c r="E12" s="20">
        <v>1311</v>
      </c>
      <c r="F12" s="20">
        <v>1201.9280000000001</v>
      </c>
      <c r="G12" s="20">
        <v>1185.451</v>
      </c>
      <c r="H12" s="20">
        <v>1008.548</v>
      </c>
      <c r="I12" s="20">
        <v>1252</v>
      </c>
      <c r="J12" s="20">
        <v>1259.923</v>
      </c>
      <c r="K12" s="20">
        <v>1357.623</v>
      </c>
      <c r="L12" s="20">
        <v>1176.8320000000001</v>
      </c>
      <c r="M12" s="20">
        <v>1491.5709999999999</v>
      </c>
      <c r="N12" s="20">
        <v>1331.9960000000001</v>
      </c>
      <c r="O12" s="20">
        <v>1282.933</v>
      </c>
      <c r="P12" s="20">
        <v>1139.1969999999999</v>
      </c>
      <c r="Q12" s="20">
        <v>1468.9149999999995</v>
      </c>
      <c r="R12" s="20">
        <v>1321.2170000000001</v>
      </c>
      <c r="S12" s="20">
        <v>1277.192</v>
      </c>
      <c r="T12" s="20">
        <v>1172.5809999999999</v>
      </c>
      <c r="U12" s="20">
        <v>1371.683</v>
      </c>
      <c r="V12" s="20">
        <v>1349.09</v>
      </c>
    </row>
    <row r="13" spans="1:22" s="21" customFormat="1">
      <c r="A13" s="21" t="s">
        <v>51</v>
      </c>
      <c r="B13" s="21">
        <f t="shared" ref="B13:R13" si="0">+B12/F12-1</f>
        <v>0.10513275337624206</v>
      </c>
      <c r="C13" s="21">
        <f t="shared" si="0"/>
        <v>-4.0358479599747366E-2</v>
      </c>
      <c r="D13" s="21">
        <f t="shared" si="0"/>
        <v>-1.3881342286138354E-3</v>
      </c>
      <c r="E13" s="21">
        <f t="shared" si="0"/>
        <v>4.712460063897761E-2</v>
      </c>
      <c r="F13" s="21">
        <f t="shared" si="0"/>
        <v>-4.6030590758324053E-2</v>
      </c>
      <c r="G13" s="21">
        <f t="shared" si="0"/>
        <v>-0.12681871182205962</v>
      </c>
      <c r="H13" s="21">
        <f t="shared" si="0"/>
        <v>-0.14299747117685457</v>
      </c>
      <c r="I13" s="21">
        <f t="shared" si="0"/>
        <v>-0.16061655797813168</v>
      </c>
      <c r="J13" s="21">
        <f t="shared" si="0"/>
        <v>-5.4109021348412556E-2</v>
      </c>
      <c r="K13" s="21">
        <f t="shared" si="0"/>
        <v>5.821816104192501E-2</v>
      </c>
      <c r="L13" s="21">
        <f t="shared" si="0"/>
        <v>3.3036428291156161E-2</v>
      </c>
      <c r="M13" s="21">
        <f t="shared" si="0"/>
        <v>1.5423629005082207E-2</v>
      </c>
      <c r="N13" s="21">
        <f t="shared" si="0"/>
        <v>8.1583873050377065E-3</v>
      </c>
      <c r="O13" s="21">
        <f t="shared" si="0"/>
        <v>4.4950171939692751E-3</v>
      </c>
      <c r="P13" s="21">
        <f t="shared" si="0"/>
        <v>-2.8470527835603665E-2</v>
      </c>
      <c r="Q13" s="21">
        <f t="shared" si="0"/>
        <v>7.0885182655175738E-2</v>
      </c>
      <c r="R13" s="21">
        <f t="shared" si="0"/>
        <v>-2.0660593437057395E-2</v>
      </c>
    </row>
    <row r="14" spans="1:22"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t="s">
        <v>3</v>
      </c>
      <c r="P14" s="23" t="s">
        <v>3</v>
      </c>
      <c r="Q14" s="23" t="s">
        <v>3</v>
      </c>
      <c r="R14" s="23" t="s">
        <v>3</v>
      </c>
      <c r="S14" s="22"/>
      <c r="T14" s="22"/>
      <c r="U14" s="22"/>
      <c r="V14" s="22"/>
    </row>
    <row r="16" spans="1:22" s="17" customFormat="1">
      <c r="A16" s="25" t="s">
        <v>53</v>
      </c>
      <c r="B16" s="26">
        <v>66.694000000000003</v>
      </c>
      <c r="C16" s="26">
        <v>64.204999999999998</v>
      </c>
      <c r="D16" s="26">
        <v>7.4240000000000004</v>
      </c>
      <c r="E16" s="26">
        <v>71</v>
      </c>
      <c r="F16" s="26">
        <v>40.542999999999999</v>
      </c>
      <c r="G16" s="26">
        <v>52.295000000000002</v>
      </c>
      <c r="H16" s="26">
        <f>18.175</f>
        <v>18.175000000000001</v>
      </c>
      <c r="I16" s="26">
        <v>69</v>
      </c>
      <c r="J16" s="26">
        <v>51.652000000000001</v>
      </c>
      <c r="K16" s="26">
        <v>76.790999999999997</v>
      </c>
      <c r="L16" s="26">
        <v>53.204000000000001</v>
      </c>
      <c r="M16" s="26">
        <v>93.245000000000005</v>
      </c>
      <c r="N16" s="26">
        <v>86.522000000000006</v>
      </c>
      <c r="O16" s="26">
        <v>77.765000000000001</v>
      </c>
      <c r="P16" s="26">
        <v>52.588000000000001</v>
      </c>
      <c r="Q16" s="26">
        <v>106.233</v>
      </c>
      <c r="R16" s="26">
        <v>86.438000000000002</v>
      </c>
      <c r="S16" s="26">
        <v>70.394999999999996</v>
      </c>
      <c r="T16" s="26">
        <v>42.582000000000001</v>
      </c>
      <c r="U16" s="26">
        <v>84.695999999999998</v>
      </c>
      <c r="V16" s="26">
        <v>84.162000000000006</v>
      </c>
    </row>
    <row r="17" spans="1:22" s="21" customFormat="1">
      <c r="A17" s="21" t="s">
        <v>54</v>
      </c>
      <c r="B17" s="21">
        <f t="shared" ref="B17:C17" si="1">+B16/B12</f>
        <v>5.0210420917119004E-2</v>
      </c>
      <c r="C17" s="21">
        <f t="shared" si="1"/>
        <v>5.6438597478217452E-2</v>
      </c>
      <c r="D17" s="21">
        <f t="shared" ref="D17:E17" si="2">+D16/D12</f>
        <v>7.3713098769992097E-3</v>
      </c>
      <c r="E17" s="21">
        <f t="shared" si="2"/>
        <v>5.4157131960335621E-2</v>
      </c>
      <c r="F17" s="21">
        <f t="shared" ref="F17:G17" si="3">+F16/F12</f>
        <v>3.3731637835211423E-2</v>
      </c>
      <c r="G17" s="21">
        <f t="shared" si="3"/>
        <v>4.4114012304177906E-2</v>
      </c>
      <c r="H17" s="21">
        <f t="shared" ref="H17:I17" si="4">+H16/H12</f>
        <v>1.8020956860754275E-2</v>
      </c>
      <c r="I17" s="21">
        <f t="shared" si="4"/>
        <v>5.5111821086261982E-2</v>
      </c>
      <c r="J17" s="21">
        <f t="shared" ref="J17:V17" si="5">+J16/J12</f>
        <v>4.0996156114302226E-2</v>
      </c>
      <c r="K17" s="21">
        <f t="shared" si="5"/>
        <v>5.6562830771134547E-2</v>
      </c>
      <c r="L17" s="21">
        <f t="shared" si="5"/>
        <v>4.5209511638024794E-2</v>
      </c>
      <c r="M17" s="21">
        <f t="shared" si="5"/>
        <v>6.2514623842914618E-2</v>
      </c>
      <c r="N17" s="21">
        <f t="shared" si="5"/>
        <v>6.4956651521476033E-2</v>
      </c>
      <c r="O17" s="21">
        <f t="shared" si="5"/>
        <v>6.0615012631213008E-2</v>
      </c>
      <c r="P17" s="21">
        <f t="shared" si="5"/>
        <v>4.6162340666276336E-2</v>
      </c>
      <c r="Q17" s="21">
        <f t="shared" si="5"/>
        <v>7.2320726522637491E-2</v>
      </c>
      <c r="R17" s="21">
        <f t="shared" si="5"/>
        <v>6.5423015295746262E-2</v>
      </c>
      <c r="S17" s="21">
        <f t="shared" si="5"/>
        <v>5.5117006683411733E-2</v>
      </c>
      <c r="T17" s="21">
        <f t="shared" si="5"/>
        <v>3.6314762050553444E-2</v>
      </c>
      <c r="U17" s="21">
        <f t="shared" si="5"/>
        <v>6.1746044822309526E-2</v>
      </c>
      <c r="V17" s="21">
        <f t="shared" si="5"/>
        <v>6.2384273843850306E-2</v>
      </c>
    </row>
    <row r="18" spans="1:22" s="24" customFormat="1"/>
    <row r="19" spans="1:22"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row>
    <row r="20" spans="1:22"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row>
    <row r="21" spans="1:22"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row>
    <row r="22" spans="1:22" s="17" customFormat="1">
      <c r="A22" s="17" t="s">
        <v>58</v>
      </c>
      <c r="B22" s="27">
        <f t="shared" ref="B22:C22" si="6">SUM(B16,B19:B21)</f>
        <v>66.694000000000003</v>
      </c>
      <c r="C22" s="27">
        <f t="shared" si="6"/>
        <v>64.204999999999998</v>
      </c>
      <c r="D22" s="27">
        <f t="shared" ref="D22:E22" si="7">SUM(D16,D19:D21)</f>
        <v>7.4240000000000004</v>
      </c>
      <c r="E22" s="27">
        <f t="shared" si="7"/>
        <v>71</v>
      </c>
      <c r="F22" s="27">
        <f t="shared" ref="F22:G22" si="8">SUM(F16,F19:F21)</f>
        <v>40.542999999999999</v>
      </c>
      <c r="G22" s="27">
        <f t="shared" si="8"/>
        <v>52.295000000000002</v>
      </c>
      <c r="H22" s="27">
        <f t="shared" ref="H22:I22" si="9">SUM(H16,H19:H21)</f>
        <v>18.175000000000001</v>
      </c>
      <c r="I22" s="27">
        <f t="shared" si="9"/>
        <v>69</v>
      </c>
      <c r="J22" s="27">
        <f t="shared" ref="J22:V22" si="10">SUM(J16,J19:J21)</f>
        <v>51.652000000000001</v>
      </c>
      <c r="K22" s="27">
        <f t="shared" si="10"/>
        <v>76.790999999999997</v>
      </c>
      <c r="L22" s="27">
        <f t="shared" si="10"/>
        <v>53.204000000000001</v>
      </c>
      <c r="M22" s="27">
        <f t="shared" si="10"/>
        <v>93.245000000000005</v>
      </c>
      <c r="N22" s="27">
        <f t="shared" si="10"/>
        <v>86.522000000000006</v>
      </c>
      <c r="O22" s="27">
        <f t="shared" si="10"/>
        <v>77.765000000000001</v>
      </c>
      <c r="P22" s="27">
        <f t="shared" si="10"/>
        <v>52.588000000000001</v>
      </c>
      <c r="Q22" s="27">
        <f t="shared" si="10"/>
        <v>106.233</v>
      </c>
      <c r="R22" s="27">
        <f t="shared" si="10"/>
        <v>86.438000000000002</v>
      </c>
      <c r="S22" s="27">
        <f t="shared" si="10"/>
        <v>70.394999999999996</v>
      </c>
      <c r="T22" s="27">
        <f t="shared" si="10"/>
        <v>42.582000000000001</v>
      </c>
      <c r="U22" s="27">
        <f t="shared" si="10"/>
        <v>84.695999999999998</v>
      </c>
      <c r="V22" s="27">
        <f t="shared" si="10"/>
        <v>84.162000000000006</v>
      </c>
    </row>
    <row r="23" spans="1:22" s="17" customFormat="1">
      <c r="B23" s="27"/>
      <c r="C23" s="27"/>
      <c r="D23" s="27"/>
      <c r="E23" s="27"/>
      <c r="F23" s="27"/>
      <c r="G23" s="27"/>
      <c r="H23" s="27"/>
      <c r="I23" s="27"/>
      <c r="J23" s="27"/>
      <c r="K23" s="27"/>
      <c r="L23" s="27"/>
      <c r="M23" s="27"/>
      <c r="N23" s="27"/>
      <c r="O23" s="27"/>
      <c r="P23" s="27"/>
      <c r="Q23" s="27"/>
      <c r="R23" s="27"/>
      <c r="S23" s="27"/>
      <c r="T23" s="27"/>
      <c r="U23" s="27"/>
      <c r="V23" s="27"/>
    </row>
    <row r="24" spans="1:22" s="17" customFormat="1">
      <c r="A24" s="17" t="s">
        <v>59</v>
      </c>
      <c r="B24" s="27">
        <f t="shared" ref="B24:S24" si="11">SUM(B22:E22)</f>
        <v>209.32300000000001</v>
      </c>
      <c r="C24" s="27">
        <f t="shared" si="11"/>
        <v>183.17200000000003</v>
      </c>
      <c r="D24" s="27">
        <f t="shared" si="11"/>
        <v>171.262</v>
      </c>
      <c r="E24" s="27">
        <f t="shared" si="11"/>
        <v>182.01300000000003</v>
      </c>
      <c r="F24" s="27">
        <f t="shared" si="11"/>
        <v>180.01299999999998</v>
      </c>
      <c r="G24" s="27">
        <f t="shared" si="11"/>
        <v>191.12200000000001</v>
      </c>
      <c r="H24" s="27">
        <f t="shared" si="11"/>
        <v>215.61799999999999</v>
      </c>
      <c r="I24" s="27">
        <f t="shared" si="11"/>
        <v>250.64699999999999</v>
      </c>
      <c r="J24" s="27">
        <f t="shared" si="11"/>
        <v>274.892</v>
      </c>
      <c r="K24" s="27">
        <f t="shared" si="11"/>
        <v>309.762</v>
      </c>
      <c r="L24" s="27">
        <f t="shared" si="11"/>
        <v>310.73599999999999</v>
      </c>
      <c r="M24" s="27">
        <f t="shared" si="11"/>
        <v>310.12</v>
      </c>
      <c r="N24" s="27">
        <f t="shared" si="11"/>
        <v>323.108</v>
      </c>
      <c r="O24" s="27">
        <f t="shared" si="11"/>
        <v>323.024</v>
      </c>
      <c r="P24" s="27">
        <f t="shared" si="11"/>
        <v>315.654</v>
      </c>
      <c r="Q24" s="27">
        <f t="shared" si="11"/>
        <v>305.64799999999997</v>
      </c>
      <c r="R24" s="27">
        <f t="shared" si="11"/>
        <v>284.11099999999999</v>
      </c>
      <c r="S24" s="27">
        <f t="shared" si="11"/>
        <v>281.83500000000004</v>
      </c>
      <c r="T24" s="27"/>
      <c r="U24" s="27"/>
      <c r="V24" s="27"/>
    </row>
    <row r="25" spans="1:22" s="24" customFormat="1">
      <c r="A25" s="19" t="s">
        <v>60</v>
      </c>
      <c r="B25" s="28">
        <f>219-B24</f>
        <v>9.6769999999999925</v>
      </c>
      <c r="C25" s="28">
        <f>196-C24</f>
        <v>12.827999999999975</v>
      </c>
      <c r="D25" s="28">
        <f>188-D24</f>
        <v>16.738</v>
      </c>
      <c r="E25" s="28">
        <f>203-E24</f>
        <v>20.986999999999966</v>
      </c>
      <c r="F25" s="28">
        <v>0</v>
      </c>
      <c r="G25" s="28">
        <v>0</v>
      </c>
      <c r="H25" s="28">
        <v>0</v>
      </c>
      <c r="I25" s="28">
        <v>0</v>
      </c>
      <c r="J25" s="28">
        <v>0</v>
      </c>
      <c r="K25" s="28">
        <v>0</v>
      </c>
      <c r="L25" s="28">
        <v>0</v>
      </c>
      <c r="M25" s="28">
        <v>0</v>
      </c>
      <c r="N25" s="28">
        <v>0</v>
      </c>
      <c r="O25" s="28">
        <v>0</v>
      </c>
      <c r="P25" s="28">
        <v>0</v>
      </c>
      <c r="Q25" s="28">
        <v>0</v>
      </c>
      <c r="R25" s="28">
        <v>0</v>
      </c>
      <c r="S25" s="28">
        <v>0</v>
      </c>
      <c r="T25" s="28"/>
      <c r="U25" s="28"/>
      <c r="V25" s="28"/>
    </row>
    <row r="26" spans="1:22" s="24" customFormat="1">
      <c r="A26" s="19" t="s">
        <v>61</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v>0</v>
      </c>
      <c r="S26" s="29">
        <v>0</v>
      </c>
      <c r="T26" s="30"/>
      <c r="U26" s="30"/>
      <c r="V26" s="30"/>
    </row>
    <row r="27" spans="1:22" s="32" customFormat="1">
      <c r="A27" s="17" t="s">
        <v>62</v>
      </c>
      <c r="B27" s="27">
        <f t="shared" ref="B27:C27" si="12">SUM(B24:B26)</f>
        <v>219</v>
      </c>
      <c r="C27" s="27">
        <f t="shared" si="12"/>
        <v>196</v>
      </c>
      <c r="D27" s="27">
        <f t="shared" ref="D27:E27" si="13">SUM(D24:D26)</f>
        <v>188</v>
      </c>
      <c r="E27" s="27">
        <f t="shared" si="13"/>
        <v>203</v>
      </c>
      <c r="F27" s="27">
        <f t="shared" ref="F27:G27" si="14">SUM(F24:F26)</f>
        <v>180.01299999999998</v>
      </c>
      <c r="G27" s="27">
        <f t="shared" si="14"/>
        <v>191.12200000000001</v>
      </c>
      <c r="H27" s="27">
        <f t="shared" ref="H27:I27" si="15">SUM(H24:H26)</f>
        <v>215.61799999999999</v>
      </c>
      <c r="I27" s="27">
        <f t="shared" si="15"/>
        <v>250.64699999999999</v>
      </c>
      <c r="J27" s="27">
        <f t="shared" ref="J27:S27" si="16">SUM(J24:J26)</f>
        <v>274.892</v>
      </c>
      <c r="K27" s="27">
        <f t="shared" si="16"/>
        <v>309.762</v>
      </c>
      <c r="L27" s="27">
        <f t="shared" si="16"/>
        <v>310.73599999999999</v>
      </c>
      <c r="M27" s="27">
        <f t="shared" si="16"/>
        <v>310.12</v>
      </c>
      <c r="N27" s="27">
        <f t="shared" si="16"/>
        <v>323.108</v>
      </c>
      <c r="O27" s="27">
        <f t="shared" si="16"/>
        <v>323.024</v>
      </c>
      <c r="P27" s="27">
        <f t="shared" si="16"/>
        <v>315.654</v>
      </c>
      <c r="Q27" s="27">
        <f t="shared" si="16"/>
        <v>305.64799999999997</v>
      </c>
      <c r="R27" s="27">
        <f t="shared" si="16"/>
        <v>284.11099999999999</v>
      </c>
      <c r="S27" s="27">
        <f t="shared" si="16"/>
        <v>281.83500000000004</v>
      </c>
      <c r="T27" s="31"/>
      <c r="U27" s="31"/>
      <c r="V27" s="31"/>
    </row>
    <row r="28" spans="1:22" s="24" customFormat="1"/>
    <row r="29" spans="1:22" s="17" customFormat="1">
      <c r="A29" s="17" t="s">
        <v>58</v>
      </c>
      <c r="B29" s="27">
        <f t="shared" ref="B29:C29" si="17">B22</f>
        <v>66.694000000000003</v>
      </c>
      <c r="C29" s="27">
        <f t="shared" si="17"/>
        <v>64.204999999999998</v>
      </c>
      <c r="D29" s="27">
        <f t="shared" ref="D29:E29" si="18">D22</f>
        <v>7.4240000000000004</v>
      </c>
      <c r="E29" s="27">
        <f t="shared" si="18"/>
        <v>71</v>
      </c>
      <c r="F29" s="27">
        <f t="shared" ref="F29:G29" si="19">F22</f>
        <v>40.542999999999999</v>
      </c>
      <c r="G29" s="27">
        <f t="shared" si="19"/>
        <v>52.295000000000002</v>
      </c>
      <c r="H29" s="27">
        <f t="shared" ref="H29:M29" si="20">H22</f>
        <v>18.175000000000001</v>
      </c>
      <c r="I29" s="27">
        <f t="shared" si="20"/>
        <v>69</v>
      </c>
      <c r="J29" s="27">
        <f t="shared" si="20"/>
        <v>51.652000000000001</v>
      </c>
      <c r="K29" s="27">
        <f t="shared" si="20"/>
        <v>76.790999999999997</v>
      </c>
      <c r="L29" s="27">
        <f t="shared" si="20"/>
        <v>53.204000000000001</v>
      </c>
      <c r="M29" s="27">
        <f t="shared" si="20"/>
        <v>93.245000000000005</v>
      </c>
      <c r="N29" s="27">
        <f t="shared" ref="N29:V29" si="21">N22</f>
        <v>86.522000000000006</v>
      </c>
      <c r="O29" s="27">
        <f t="shared" si="21"/>
        <v>77.765000000000001</v>
      </c>
      <c r="P29" s="27">
        <f t="shared" si="21"/>
        <v>52.588000000000001</v>
      </c>
      <c r="Q29" s="27">
        <f t="shared" si="21"/>
        <v>106.233</v>
      </c>
      <c r="R29" s="27">
        <f t="shared" si="21"/>
        <v>86.438000000000002</v>
      </c>
      <c r="S29" s="27">
        <f t="shared" si="21"/>
        <v>70.394999999999996</v>
      </c>
      <c r="T29" s="27">
        <f t="shared" si="21"/>
        <v>42.582000000000001</v>
      </c>
      <c r="U29" s="27">
        <f t="shared" si="21"/>
        <v>84.695999999999998</v>
      </c>
      <c r="V29" s="27">
        <f t="shared" si="21"/>
        <v>84.162000000000006</v>
      </c>
    </row>
    <row r="30" spans="1:22" s="33" customFormat="1">
      <c r="A30" s="20" t="s">
        <v>63</v>
      </c>
      <c r="B30" s="20">
        <f>-101.266-C30-D30</f>
        <v>-31.344000000000008</v>
      </c>
      <c r="C30" s="20">
        <v>-30.241</v>
      </c>
      <c r="D30" s="20">
        <v>-39.680999999999997</v>
      </c>
      <c r="E30" s="20">
        <f>-138.487-F30-G30-H30</f>
        <v>-37.28799999999999</v>
      </c>
      <c r="F30" s="20">
        <f>-101.199-G30-H30</f>
        <v>-33.458000000000006</v>
      </c>
      <c r="G30" s="20">
        <v>-29.976999999999997</v>
      </c>
      <c r="H30" s="20">
        <v>-37.764000000000003</v>
      </c>
      <c r="I30" s="20">
        <v>-17.906000000000006</v>
      </c>
      <c r="J30" s="20">
        <v>-21.807999999999993</v>
      </c>
      <c r="K30" s="20">
        <v>-22.731000000000009</v>
      </c>
      <c r="L30" s="20">
        <v>-73.965999999999994</v>
      </c>
      <c r="M30" s="20">
        <v>-20.009000000000015</v>
      </c>
      <c r="N30" s="20">
        <v>-72.786999999999992</v>
      </c>
      <c r="O30" s="20">
        <v>-19.837999999999994</v>
      </c>
      <c r="P30" s="20">
        <v>-72.331000000000003</v>
      </c>
      <c r="Q30" s="20">
        <v>-13.634999999999991</v>
      </c>
      <c r="R30" s="20">
        <v>-66.600000000000009</v>
      </c>
      <c r="S30" s="20">
        <v>-19.375</v>
      </c>
      <c r="T30" s="20">
        <v>-67.39</v>
      </c>
      <c r="U30" s="20">
        <v>-17.716000000000008</v>
      </c>
      <c r="V30" s="20">
        <v>-66.075999999999993</v>
      </c>
    </row>
    <row r="31" spans="1:22" s="33" customFormat="1">
      <c r="A31" s="20" t="s">
        <v>64</v>
      </c>
      <c r="B31" s="20">
        <f>-1.242-C31-D31</f>
        <v>-1.246</v>
      </c>
      <c r="C31" s="20">
        <v>2.1999999999999999E-2</v>
      </c>
      <c r="D31" s="20">
        <v>-1.7999999999999999E-2</v>
      </c>
      <c r="E31" s="20">
        <f>-9.023-F31-G31-H31</f>
        <v>-9.3930000000000007</v>
      </c>
      <c r="F31" s="20">
        <f>0.37-G31-H31</f>
        <v>0.33299999999999996</v>
      </c>
      <c r="G31" s="20">
        <v>3.1E-2</v>
      </c>
      <c r="H31" s="20">
        <v>6.0000000000000001E-3</v>
      </c>
      <c r="I31" s="20">
        <v>-0.37399999999999967</v>
      </c>
      <c r="J31" s="20">
        <v>-3.46</v>
      </c>
      <c r="K31" s="20">
        <v>-0.14199999999999999</v>
      </c>
      <c r="L31" s="20">
        <v>-5.0999999999999997E-2</v>
      </c>
      <c r="M31" s="20">
        <v>0.22500000000000009</v>
      </c>
      <c r="N31" s="20">
        <v>-2.0979999999999999</v>
      </c>
      <c r="O31" s="20">
        <v>-0.40699999999999997</v>
      </c>
      <c r="P31" s="20">
        <v>-0.02</v>
      </c>
      <c r="Q31" s="20">
        <v>-0.14200000000000035</v>
      </c>
      <c r="R31" s="20">
        <v>-5.4329999999999989</v>
      </c>
      <c r="S31" s="20">
        <v>13.853999999999999</v>
      </c>
      <c r="T31" s="20">
        <v>-0.51600000000000001</v>
      </c>
      <c r="U31" s="20">
        <v>4.4999999999999929E-2</v>
      </c>
      <c r="V31" s="20">
        <v>3.0000000000001137E-3</v>
      </c>
    </row>
    <row r="32" spans="1:22" s="33" customFormat="1">
      <c r="A32" s="20" t="s">
        <v>65</v>
      </c>
      <c r="B32" s="20">
        <f>-84.43-52.143+0.303-0.783+113.413+1.413-C32-D32</f>
        <v>36.971000000000004</v>
      </c>
      <c r="C32" s="20">
        <v>16.68799999999996</v>
      </c>
      <c r="D32" s="20">
        <f>42.455-187.439+0.019-1.123+66.961+3.241</f>
        <v>-75.885999999999967</v>
      </c>
      <c r="E32" s="20">
        <f>2.712+66.317+0.239+9.517-26.396-1-F32-G32-H32</f>
        <v>109.94199999999999</v>
      </c>
      <c r="F32" s="20">
        <f>-39.961-72.116+0.312+4.979+47.219+1.014-G32-H32</f>
        <v>0.22999999999998977</v>
      </c>
      <c r="G32" s="20">
        <f>+(-18.545-77.252+0.025+2.688+33.747+0.554)-H32</f>
        <v>20.122000000000028</v>
      </c>
      <c r="H32" s="20">
        <f>+-33.834-118.574+0.026+1.546+71.931</f>
        <v>-78.905000000000015</v>
      </c>
      <c r="I32" s="20">
        <v>104.12699999999998</v>
      </c>
      <c r="J32" s="20">
        <v>-73.702999999999989</v>
      </c>
      <c r="K32" s="20">
        <v>107.664</v>
      </c>
      <c r="L32" s="20">
        <f>25.029-15.967-0.001+1.105-169.745-1.416</f>
        <v>-160.995</v>
      </c>
      <c r="M32" s="20">
        <v>112.102</v>
      </c>
      <c r="N32" s="20">
        <v>-5.2830000000000013</v>
      </c>
      <c r="O32" s="20">
        <v>133.87299999999999</v>
      </c>
      <c r="P32" s="20">
        <v>-85.257999999999996</v>
      </c>
      <c r="Q32" s="20">
        <v>133.95800000000003</v>
      </c>
      <c r="R32" s="20">
        <v>-38.940000000000012</v>
      </c>
      <c r="S32" s="20">
        <v>-43.634000000000015</v>
      </c>
      <c r="T32" s="20">
        <v>-69.765000000000001</v>
      </c>
      <c r="U32" s="20">
        <v>98.895999999999987</v>
      </c>
      <c r="V32" s="20">
        <v>-55.125000000000014</v>
      </c>
    </row>
    <row r="33" spans="1:23"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row>
    <row r="34" spans="1:23"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row>
    <row r="35" spans="1:23" s="27" customFormat="1">
      <c r="A35" s="27" t="s">
        <v>67</v>
      </c>
      <c r="B35" s="27">
        <f>-1.808-C35-D35</f>
        <v>58.331999999999994</v>
      </c>
      <c r="C35" s="27">
        <v>62.361999999999995</v>
      </c>
      <c r="D35" s="27">
        <v>-122.502</v>
      </c>
      <c r="E35" s="27">
        <f>28.027-F35-G35-H35</f>
        <v>123.39400000000001</v>
      </c>
      <c r="F35" s="27">
        <f>-95.367-G35-H35</f>
        <v>-5.7909999999999968</v>
      </c>
      <c r="G35" s="27">
        <v>8.1949999999999932</v>
      </c>
      <c r="H35" s="27">
        <v>-97.771000000000001</v>
      </c>
      <c r="I35" s="27">
        <v>61.491</v>
      </c>
      <c r="J35" s="27">
        <v>-117.119</v>
      </c>
      <c r="K35" s="27">
        <v>123.37</v>
      </c>
      <c r="L35" s="27">
        <v>-163.32300000000001</v>
      </c>
      <c r="M35" s="27">
        <v>128.07</v>
      </c>
      <c r="N35" s="27">
        <v>21.47</v>
      </c>
      <c r="O35" s="27">
        <v>147.1345</v>
      </c>
      <c r="P35" s="27">
        <v>-83.543000000000006</v>
      </c>
      <c r="Q35" s="27">
        <v>166.50700000000001</v>
      </c>
      <c r="R35" s="27">
        <v>-10.649999999999991</v>
      </c>
      <c r="S35" s="27">
        <v>-24.27300000000001</v>
      </c>
      <c r="T35" s="27">
        <v>-68.831999999999994</v>
      </c>
      <c r="U35" s="27">
        <v>128.43199999999999</v>
      </c>
      <c r="V35" s="27">
        <v>-26.820999999999998</v>
      </c>
    </row>
    <row r="36" spans="1:23" s="33" customFormat="1">
      <c r="A36" s="20" t="s">
        <v>68</v>
      </c>
      <c r="B36" s="29">
        <f>-16.783-C36-D36</f>
        <v>-4.6930000000000023</v>
      </c>
      <c r="C36" s="29">
        <v>-5.7459999999999996</v>
      </c>
      <c r="D36" s="29">
        <v>-6.3440000000000003</v>
      </c>
      <c r="E36" s="29">
        <f>-41.923-F36-G36-H36</f>
        <v>-10.788</v>
      </c>
      <c r="F36" s="29">
        <f>-31.135-G36-H36</f>
        <v>-12.457000000000001</v>
      </c>
      <c r="G36" s="29">
        <v>-7.338000000000001</v>
      </c>
      <c r="H36" s="29">
        <v>-11.34</v>
      </c>
      <c r="I36" s="29">
        <v>-18.565000000000005</v>
      </c>
      <c r="J36" s="29">
        <v>-13.670999999999999</v>
      </c>
      <c r="K36" s="29">
        <v>-18.919999999999998</v>
      </c>
      <c r="L36" s="29">
        <v>-21.788</v>
      </c>
      <c r="M36" s="29">
        <v>-19.046999999999997</v>
      </c>
      <c r="N36" s="29">
        <v>-17.085999999999999</v>
      </c>
      <c r="O36" s="29">
        <v>-17.846000000000004</v>
      </c>
      <c r="P36" s="29">
        <v>-18.600999999999999</v>
      </c>
      <c r="Q36" s="29">
        <v>-20.185000000000002</v>
      </c>
      <c r="R36" s="29">
        <v>-21.806999999999995</v>
      </c>
      <c r="S36" s="29">
        <v>-23.068000000000001</v>
      </c>
      <c r="T36" s="29">
        <v>-25.364999999999998</v>
      </c>
      <c r="U36" s="29">
        <v>-22.854999999999997</v>
      </c>
      <c r="V36" s="29">
        <v>-20.581000000000003</v>
      </c>
    </row>
    <row r="37" spans="1:23" s="27" customFormat="1">
      <c r="A37" s="27" t="s">
        <v>69</v>
      </c>
      <c r="B37" s="27">
        <f t="shared" ref="B37:V37" si="22">+B35+B36</f>
        <v>53.638999999999989</v>
      </c>
      <c r="C37" s="27">
        <f t="shared" si="22"/>
        <v>56.615999999999993</v>
      </c>
      <c r="D37" s="27">
        <f t="shared" si="22"/>
        <v>-128.846</v>
      </c>
      <c r="E37" s="27">
        <f t="shared" si="22"/>
        <v>112.60600000000001</v>
      </c>
      <c r="F37" s="27">
        <f t="shared" si="22"/>
        <v>-18.247999999999998</v>
      </c>
      <c r="G37" s="27">
        <f t="shared" si="22"/>
        <v>0.85699999999999221</v>
      </c>
      <c r="H37" s="27">
        <f t="shared" si="22"/>
        <v>-109.111</v>
      </c>
      <c r="I37" s="27">
        <f t="shared" si="22"/>
        <v>42.925999999999995</v>
      </c>
      <c r="J37" s="27">
        <f t="shared" si="22"/>
        <v>-130.79</v>
      </c>
      <c r="K37" s="27">
        <f t="shared" si="22"/>
        <v>104.45</v>
      </c>
      <c r="L37" s="27">
        <f t="shared" si="22"/>
        <v>-185.11100000000002</v>
      </c>
      <c r="M37" s="27">
        <f t="shared" si="22"/>
        <v>109.023</v>
      </c>
      <c r="N37" s="27">
        <f t="shared" si="22"/>
        <v>4.3840000000000003</v>
      </c>
      <c r="O37" s="27">
        <f t="shared" si="22"/>
        <v>129.2885</v>
      </c>
      <c r="P37" s="27">
        <f t="shared" si="22"/>
        <v>-102.14400000000001</v>
      </c>
      <c r="Q37" s="27">
        <f t="shared" si="22"/>
        <v>146.322</v>
      </c>
      <c r="R37" s="27">
        <f t="shared" si="22"/>
        <v>-32.456999999999987</v>
      </c>
      <c r="S37" s="27">
        <f t="shared" si="22"/>
        <v>-47.341000000000008</v>
      </c>
      <c r="T37" s="27">
        <f t="shared" si="22"/>
        <v>-94.196999999999989</v>
      </c>
      <c r="U37" s="27">
        <f t="shared" si="22"/>
        <v>105.577</v>
      </c>
      <c r="V37" s="27">
        <f t="shared" si="22"/>
        <v>-47.402000000000001</v>
      </c>
    </row>
    <row r="39" spans="1:23" s="35" customFormat="1">
      <c r="A39" s="34" t="s">
        <v>70</v>
      </c>
      <c r="B39" s="20">
        <f>542+43+8</f>
        <v>593</v>
      </c>
      <c r="C39" s="20">
        <f>583+47+7</f>
        <v>637</v>
      </c>
      <c r="D39" s="20">
        <f>639.504+41.778+11.429</f>
        <v>692.71100000000001</v>
      </c>
      <c r="E39" s="20">
        <f>534.537+28.128+13.853</f>
        <v>576.51800000000003</v>
      </c>
      <c r="F39" s="20">
        <f>546+105+17.311</f>
        <v>668.31100000000004</v>
      </c>
      <c r="G39" s="20">
        <f>563.515+75.551+15.187</f>
        <v>654.25300000000004</v>
      </c>
      <c r="H39" s="20">
        <f>78+13+544</f>
        <v>635</v>
      </c>
      <c r="I39" s="20">
        <f>53+12+461</f>
        <v>526</v>
      </c>
      <c r="J39" s="20">
        <v>811.75300000000016</v>
      </c>
      <c r="K39" s="20">
        <f>544.942+50.129+60.6+11.067</f>
        <v>666.73800000000006</v>
      </c>
      <c r="L39" s="20">
        <f>615.084+51.193+77.052+14.045</f>
        <v>757.37399999999991</v>
      </c>
      <c r="M39" s="20">
        <f>443.895+23.732+78.709+15</f>
        <v>561.33600000000001</v>
      </c>
      <c r="N39" s="20">
        <f>505.823+89.521+75.055+15</f>
        <v>685.39899999999989</v>
      </c>
      <c r="O39" s="20">
        <f>SUM({512.623;68.55;77.809;12.956})</f>
        <v>671.93799999999999</v>
      </c>
      <c r="P39" s="20">
        <f>SUM({668.803;16.384;80;12.594})</f>
        <v>777.78100000000006</v>
      </c>
      <c r="Q39" s="20">
        <f>SUM({700.595;0;80;10.265})</f>
        <v>790.86</v>
      </c>
      <c r="R39" s="20">
        <f>SUM({766.426;66.333;80;15})</f>
        <v>927.75900000000001</v>
      </c>
      <c r="S39" s="20">
        <f>SUM({786.816;0;80;14.614})</f>
        <v>881.43000000000006</v>
      </c>
      <c r="T39" s="20"/>
      <c r="U39" s="20"/>
      <c r="V39" s="20"/>
      <c r="W39" s="48"/>
    </row>
    <row r="40" spans="1:23" s="35" customFormat="1">
      <c r="A40" s="34" t="s">
        <v>71</v>
      </c>
      <c r="B40" s="20">
        <f>150+775+105</f>
        <v>1030</v>
      </c>
      <c r="C40" s="20">
        <f>150+777+83</f>
        <v>1010</v>
      </c>
      <c r="D40" s="20">
        <f>150+788.339+70+0.214</f>
        <v>1008.5530000000001</v>
      </c>
      <c r="E40" s="20">
        <f>150+792.313+80.211+0.234</f>
        <v>1022.758</v>
      </c>
      <c r="F40" s="20">
        <f>150+794.3+57.211</f>
        <v>1001.511</v>
      </c>
      <c r="G40" s="20">
        <f>794.3+150+58.148+0.328</f>
        <v>1002.776</v>
      </c>
      <c r="H40" s="20">
        <f>150+784+59</f>
        <v>993</v>
      </c>
      <c r="I40" s="20">
        <f>150+785+60</f>
        <v>995</v>
      </c>
      <c r="J40" s="20">
        <v>752.80200000000002</v>
      </c>
      <c r="K40" s="20">
        <f>60.105+694.394+0.927</f>
        <v>755.42600000000004</v>
      </c>
      <c r="L40" s="20">
        <f>696.033+58.014</f>
        <v>754.04700000000003</v>
      </c>
      <c r="M40" s="20">
        <f>1322.274-M39</f>
        <v>760.93799999999987</v>
      </c>
      <c r="N40" s="20">
        <f>699.316+58.606+4.953</f>
        <v>762.875</v>
      </c>
      <c r="O40" s="20">
        <f>1437.024-O39</f>
        <v>765.0859999999999</v>
      </c>
      <c r="P40" s="20">
        <f>1542.025-P39</f>
        <v>764.24400000000003</v>
      </c>
      <c r="Q40" s="20">
        <f>1559.278-Q39</f>
        <v>768.41800000000001</v>
      </c>
      <c r="R40" s="20">
        <f>1696.576-R39</f>
        <v>768.81700000000001</v>
      </c>
      <c r="S40" s="20">
        <f>1650.924-S39</f>
        <v>769.49399999999991</v>
      </c>
      <c r="T40" s="20"/>
      <c r="U40" s="20"/>
      <c r="V40" s="20"/>
      <c r="W40" s="48"/>
    </row>
    <row r="41" spans="1:23" s="35" customFormat="1">
      <c r="A41" s="34" t="s">
        <v>72</v>
      </c>
      <c r="B41" s="20">
        <f t="shared" ref="B41:I41" si="23">B39+B40</f>
        <v>1623</v>
      </c>
      <c r="C41" s="20">
        <f t="shared" si="23"/>
        <v>1647</v>
      </c>
      <c r="D41" s="20">
        <f t="shared" si="23"/>
        <v>1701.2640000000001</v>
      </c>
      <c r="E41" s="20">
        <f t="shared" si="23"/>
        <v>1599.2760000000001</v>
      </c>
      <c r="F41" s="20">
        <f t="shared" si="23"/>
        <v>1669.8220000000001</v>
      </c>
      <c r="G41" s="20">
        <f t="shared" si="23"/>
        <v>1657.029</v>
      </c>
      <c r="H41" s="20">
        <f t="shared" si="23"/>
        <v>1628</v>
      </c>
      <c r="I41" s="20">
        <f t="shared" si="23"/>
        <v>1521</v>
      </c>
      <c r="J41" s="20">
        <f>J39+J40+855+75+120</f>
        <v>2614.5550000000003</v>
      </c>
      <c r="K41" s="20">
        <f>K39+K40+1051.624</f>
        <v>2473.7880000000005</v>
      </c>
      <c r="L41" s="20">
        <f>L39+L40+1051.174+4.487</f>
        <v>2567.0819999999999</v>
      </c>
      <c r="M41" s="20">
        <v>2372.2740000000003</v>
      </c>
      <c r="N41" s="20">
        <v>2498.2739999999999</v>
      </c>
      <c r="O41" s="20">
        <v>2487.0239999999999</v>
      </c>
      <c r="P41" s="20">
        <v>2592.0250000000005</v>
      </c>
      <c r="Q41" s="20">
        <v>2609.2780000000002</v>
      </c>
      <c r="R41" s="20">
        <v>2626.576</v>
      </c>
      <c r="S41" s="20">
        <v>2580.924</v>
      </c>
      <c r="T41" s="20"/>
      <c r="U41" s="20"/>
      <c r="V41" s="20"/>
      <c r="W41" s="48"/>
    </row>
    <row r="42" spans="1:23" s="35" customFormat="1">
      <c r="A42" s="34" t="s">
        <v>73</v>
      </c>
      <c r="B42" s="36">
        <v>0</v>
      </c>
      <c r="C42" s="36">
        <v>0</v>
      </c>
      <c r="D42" s="36">
        <v>0</v>
      </c>
      <c r="E42" s="36">
        <v>0</v>
      </c>
      <c r="F42" s="36">
        <v>0</v>
      </c>
      <c r="G42" s="36">
        <v>0</v>
      </c>
      <c r="H42" s="36">
        <v>0</v>
      </c>
      <c r="I42" s="36">
        <v>0</v>
      </c>
      <c r="J42" s="36">
        <v>0</v>
      </c>
      <c r="K42" s="36">
        <v>0</v>
      </c>
      <c r="L42" s="36">
        <v>0</v>
      </c>
      <c r="M42" s="36">
        <v>0</v>
      </c>
      <c r="N42" s="36">
        <v>0</v>
      </c>
      <c r="O42" s="36">
        <v>0</v>
      </c>
      <c r="P42" s="36">
        <v>0</v>
      </c>
      <c r="Q42" s="36">
        <v>0</v>
      </c>
      <c r="R42" s="36">
        <v>0</v>
      </c>
      <c r="S42" s="36">
        <v>0</v>
      </c>
      <c r="T42" s="36"/>
      <c r="U42" s="36"/>
      <c r="V42" s="36"/>
      <c r="W42" s="48"/>
    </row>
    <row r="43" spans="1:23">
      <c r="B43" s="35"/>
      <c r="C43" s="35"/>
      <c r="D43" s="35"/>
      <c r="E43" s="35"/>
      <c r="F43" s="35"/>
      <c r="G43" s="35"/>
      <c r="H43" s="35"/>
      <c r="I43" s="35"/>
      <c r="J43" s="35"/>
      <c r="K43" s="35"/>
      <c r="L43" s="35"/>
      <c r="M43" s="35"/>
      <c r="N43" s="35"/>
      <c r="O43" s="35"/>
      <c r="P43" s="35"/>
      <c r="Q43" s="35"/>
    </row>
    <row r="44" spans="1:23">
      <c r="A44" s="19" t="s">
        <v>74</v>
      </c>
      <c r="B44" s="28">
        <v>26</v>
      </c>
      <c r="C44" s="28">
        <v>18.231000000000002</v>
      </c>
      <c r="D44" s="28">
        <v>13.272</v>
      </c>
      <c r="E44" s="28">
        <v>30.367999999999999</v>
      </c>
      <c r="F44" s="28">
        <v>27.675000000000001</v>
      </c>
      <c r="G44" s="28">
        <v>21.594000000000001</v>
      </c>
      <c r="H44" s="28">
        <v>17</v>
      </c>
      <c r="I44" s="28">
        <v>25.704000000000001</v>
      </c>
      <c r="J44" s="28">
        <v>23</v>
      </c>
      <c r="K44" s="28">
        <v>22.6</v>
      </c>
      <c r="L44" s="28">
        <v>18.731999999999999</v>
      </c>
      <c r="M44" s="28">
        <v>22.736999999999998</v>
      </c>
      <c r="N44" s="28">
        <v>28.808</v>
      </c>
      <c r="O44" s="28">
        <v>31.84</v>
      </c>
      <c r="P44" s="28">
        <v>26.099</v>
      </c>
      <c r="Q44" s="28">
        <v>34.738</v>
      </c>
      <c r="R44" s="28">
        <v>27.904</v>
      </c>
      <c r="S44" s="28">
        <v>29.138000000000002</v>
      </c>
      <c r="T44" s="28"/>
      <c r="U44" s="28"/>
      <c r="V44" s="28"/>
    </row>
    <row r="45" spans="1:23">
      <c r="B45" s="33"/>
      <c r="C45" s="33"/>
    </row>
    <row r="46" spans="1:23">
      <c r="A46" s="14" t="s">
        <v>75</v>
      </c>
      <c r="B46" s="33">
        <f t="shared" ref="B46:S46" si="24">SUM(B12:E12)</f>
        <v>4784.0460000000003</v>
      </c>
      <c r="C46" s="33">
        <f t="shared" si="24"/>
        <v>4657.6840000000002</v>
      </c>
      <c r="D46" s="33">
        <f t="shared" si="24"/>
        <v>4705.527</v>
      </c>
      <c r="E46" s="33">
        <f t="shared" si="24"/>
        <v>4706.9269999999997</v>
      </c>
      <c r="F46" s="33">
        <f t="shared" si="24"/>
        <v>4647.9269999999997</v>
      </c>
      <c r="G46" s="33">
        <f t="shared" si="24"/>
        <v>4705.9219999999996</v>
      </c>
      <c r="H46" s="33">
        <f t="shared" si="24"/>
        <v>4878.0939999999991</v>
      </c>
      <c r="I46" s="33">
        <f t="shared" si="24"/>
        <v>5046.3779999999997</v>
      </c>
      <c r="J46" s="33">
        <f t="shared" si="24"/>
        <v>5285.9490000000005</v>
      </c>
      <c r="K46" s="33">
        <f t="shared" si="24"/>
        <v>5358.0219999999999</v>
      </c>
      <c r="L46" s="33">
        <f t="shared" si="24"/>
        <v>5283.3320000000003</v>
      </c>
      <c r="M46" s="33">
        <f t="shared" si="24"/>
        <v>5245.6970000000001</v>
      </c>
      <c r="N46" s="33">
        <f t="shared" si="24"/>
        <v>5223.0409999999993</v>
      </c>
      <c r="O46" s="33">
        <f t="shared" si="24"/>
        <v>5212.2619999999997</v>
      </c>
      <c r="P46" s="33">
        <f t="shared" si="24"/>
        <v>5206.5209999999988</v>
      </c>
      <c r="Q46" s="33">
        <f t="shared" si="24"/>
        <v>5239.9049999999997</v>
      </c>
      <c r="R46" s="33">
        <f t="shared" si="24"/>
        <v>5142.6729999999998</v>
      </c>
      <c r="S46" s="33">
        <f t="shared" si="24"/>
        <v>5170.5460000000003</v>
      </c>
    </row>
    <row r="47" spans="1:23">
      <c r="A47" s="14" t="s">
        <v>76</v>
      </c>
      <c r="B47" s="33">
        <f t="shared" ref="B47:C47" si="25">+B27</f>
        <v>219</v>
      </c>
      <c r="C47" s="33">
        <f t="shared" si="25"/>
        <v>196</v>
      </c>
      <c r="D47" s="33">
        <f t="shared" ref="D47:E47" si="26">+D27</f>
        <v>188</v>
      </c>
      <c r="E47" s="33">
        <f t="shared" si="26"/>
        <v>203</v>
      </c>
      <c r="F47" s="33">
        <f t="shared" ref="F47:G47" si="27">+F27</f>
        <v>180.01299999999998</v>
      </c>
      <c r="G47" s="33">
        <f t="shared" si="27"/>
        <v>191.12200000000001</v>
      </c>
      <c r="H47" s="33">
        <f t="shared" ref="H47:M47" si="28">+H27</f>
        <v>215.61799999999999</v>
      </c>
      <c r="I47" s="33">
        <f t="shared" si="28"/>
        <v>250.64699999999999</v>
      </c>
      <c r="J47" s="33">
        <f t="shared" si="28"/>
        <v>274.892</v>
      </c>
      <c r="K47" s="33">
        <f t="shared" si="28"/>
        <v>309.762</v>
      </c>
      <c r="L47" s="33">
        <f t="shared" si="28"/>
        <v>310.73599999999999</v>
      </c>
      <c r="M47" s="33">
        <f t="shared" si="28"/>
        <v>310.12</v>
      </c>
      <c r="N47" s="33">
        <f t="shared" ref="N47:S47" si="29">+N27</f>
        <v>323.108</v>
      </c>
      <c r="O47" s="33">
        <f t="shared" si="29"/>
        <v>323.024</v>
      </c>
      <c r="P47" s="33">
        <f t="shared" si="29"/>
        <v>315.654</v>
      </c>
      <c r="Q47" s="33">
        <f t="shared" si="29"/>
        <v>305.64799999999997</v>
      </c>
      <c r="R47" s="33">
        <f t="shared" si="29"/>
        <v>284.11099999999999</v>
      </c>
      <c r="S47" s="33">
        <f t="shared" si="29"/>
        <v>281.83500000000004</v>
      </c>
    </row>
    <row r="48" spans="1:23">
      <c r="A48" s="14" t="s">
        <v>77</v>
      </c>
      <c r="B48" s="33">
        <f t="shared" ref="B48:S48" si="30">+SUM(B37:E37)</f>
        <v>94.014999999999986</v>
      </c>
      <c r="C48" s="33">
        <f t="shared" si="30"/>
        <v>22.127999999999993</v>
      </c>
      <c r="D48" s="33">
        <f t="shared" si="30"/>
        <v>-33.631</v>
      </c>
      <c r="E48" s="33">
        <f t="shared" si="30"/>
        <v>-13.896000000000001</v>
      </c>
      <c r="F48" s="33">
        <f t="shared" si="30"/>
        <v>-83.576000000000022</v>
      </c>
      <c r="G48" s="33">
        <f t="shared" si="30"/>
        <v>-196.11800000000002</v>
      </c>
      <c r="H48" s="33">
        <f t="shared" si="30"/>
        <v>-92.524999999999991</v>
      </c>
      <c r="I48" s="33">
        <f t="shared" si="30"/>
        <v>-168.52500000000003</v>
      </c>
      <c r="J48" s="33">
        <f t="shared" si="30"/>
        <v>-102.42800000000003</v>
      </c>
      <c r="K48" s="33">
        <f t="shared" si="30"/>
        <v>32.745999999999981</v>
      </c>
      <c r="L48" s="33">
        <f t="shared" si="30"/>
        <v>57.584499999999977</v>
      </c>
      <c r="M48" s="33">
        <f t="shared" si="30"/>
        <v>140.55149999999998</v>
      </c>
      <c r="N48" s="33">
        <f t="shared" si="30"/>
        <v>177.85050000000001</v>
      </c>
      <c r="O48" s="33">
        <f t="shared" si="30"/>
        <v>141.0095</v>
      </c>
      <c r="P48" s="33">
        <f t="shared" si="30"/>
        <v>-35.619999999999997</v>
      </c>
      <c r="Q48" s="33">
        <f t="shared" si="30"/>
        <v>-27.672999999999988</v>
      </c>
      <c r="R48" s="33">
        <f t="shared" si="30"/>
        <v>-68.418000000000006</v>
      </c>
      <c r="S48" s="33">
        <f t="shared" si="30"/>
        <v>-83.363000000000014</v>
      </c>
    </row>
    <row r="50" spans="1:22" s="37" customFormat="1">
      <c r="A50" s="37" t="s">
        <v>78</v>
      </c>
      <c r="B50" s="37">
        <f t="shared" ref="B50:C50" si="31">+SUM(B39:B40)/B47</f>
        <v>7.4109589041095889</v>
      </c>
      <c r="C50" s="37">
        <f t="shared" si="31"/>
        <v>8.4030612244897966</v>
      </c>
      <c r="D50" s="37">
        <f t="shared" ref="D50" si="32">+SUM(D39:D40)/D47</f>
        <v>9.049276595744681</v>
      </c>
      <c r="E50" s="37">
        <f t="shared" ref="E50:F50" si="33">+SUM(E39:E40)/E47</f>
        <v>7.8782068965517249</v>
      </c>
      <c r="F50" s="37">
        <f t="shared" si="33"/>
        <v>9.2761189469649441</v>
      </c>
      <c r="G50" s="37">
        <f t="shared" ref="G50:H50" si="34">+SUM(G39:G40)/G47</f>
        <v>8.6700065926476277</v>
      </c>
      <c r="H50" s="37">
        <f t="shared" si="34"/>
        <v>7.550390041647729</v>
      </c>
      <c r="I50" s="37">
        <f t="shared" ref="I50:J50" si="35">+SUM(I39:I40)/I47</f>
        <v>6.0682952518881139</v>
      </c>
      <c r="J50" s="37">
        <f t="shared" si="35"/>
        <v>5.6915261266242752</v>
      </c>
      <c r="K50" s="37">
        <f t="shared" ref="K50:S50" si="36">+SUM(K39:K40)/K47</f>
        <v>4.5911506253187939</v>
      </c>
      <c r="L50" s="37">
        <f t="shared" si="36"/>
        <v>4.864003527109829</v>
      </c>
      <c r="M50" s="37">
        <f t="shared" si="36"/>
        <v>4.2637495163162642</v>
      </c>
      <c r="N50" s="37">
        <f t="shared" si="36"/>
        <v>4.4823217004840483</v>
      </c>
      <c r="O50" s="37">
        <f t="shared" si="36"/>
        <v>4.44866016147407</v>
      </c>
      <c r="P50" s="37">
        <f t="shared" si="36"/>
        <v>4.8851749067016419</v>
      </c>
      <c r="Q50" s="37">
        <f t="shared" si="36"/>
        <v>5.101548186148773</v>
      </c>
      <c r="R50" s="37">
        <f t="shared" si="36"/>
        <v>5.9715252137368848</v>
      </c>
      <c r="S50" s="37">
        <f t="shared" si="36"/>
        <v>5.857767842886795</v>
      </c>
    </row>
    <row r="51" spans="1:22" s="37" customFormat="1">
      <c r="A51" s="37" t="s">
        <v>79</v>
      </c>
      <c r="B51" s="37">
        <f t="shared" ref="B51:C51" si="37">+B41/B47</f>
        <v>7.4109589041095889</v>
      </c>
      <c r="C51" s="37">
        <f t="shared" si="37"/>
        <v>8.4030612244897966</v>
      </c>
      <c r="D51" s="37">
        <f t="shared" ref="D51:E51" si="38">+D41/D47</f>
        <v>9.049276595744681</v>
      </c>
      <c r="E51" s="37">
        <f t="shared" si="38"/>
        <v>7.8782068965517249</v>
      </c>
      <c r="F51" s="37">
        <f t="shared" ref="F51:G51" si="39">+F41/F47</f>
        <v>9.2761189469649441</v>
      </c>
      <c r="G51" s="37">
        <f t="shared" si="39"/>
        <v>8.6700065926476277</v>
      </c>
      <c r="H51" s="37">
        <f t="shared" ref="H51:I51" si="40">+H41/H47</f>
        <v>7.550390041647729</v>
      </c>
      <c r="I51" s="37">
        <f t="shared" si="40"/>
        <v>6.0682952518881139</v>
      </c>
      <c r="J51" s="37">
        <f t="shared" ref="J51:S51" si="41">+J41/J47</f>
        <v>9.5112080380658597</v>
      </c>
      <c r="K51" s="37">
        <f t="shared" si="41"/>
        <v>7.9860925484726994</v>
      </c>
      <c r="L51" s="37">
        <f t="shared" si="41"/>
        <v>8.2612957623191381</v>
      </c>
      <c r="M51" s="37">
        <f t="shared" si="41"/>
        <v>7.6495356636140857</v>
      </c>
      <c r="N51" s="37">
        <f t="shared" si="41"/>
        <v>7.732009111504512</v>
      </c>
      <c r="O51" s="37">
        <f t="shared" si="41"/>
        <v>7.6991926296498088</v>
      </c>
      <c r="P51" s="37">
        <f t="shared" si="41"/>
        <v>8.2116019439006021</v>
      </c>
      <c r="Q51" s="37">
        <f t="shared" si="41"/>
        <v>8.5368724807621863</v>
      </c>
      <c r="R51" s="37">
        <f t="shared" si="41"/>
        <v>9.2448937211160427</v>
      </c>
      <c r="S51" s="37">
        <f t="shared" si="41"/>
        <v>9.1575709191548231</v>
      </c>
    </row>
    <row r="52" spans="1:22" s="37" customFormat="1">
      <c r="A52" s="37" t="s">
        <v>80</v>
      </c>
      <c r="B52" s="37">
        <f t="shared" ref="B52:C52" si="42">+(B41-B44)/B47</f>
        <v>7.2922374429223744</v>
      </c>
      <c r="C52" s="37">
        <f t="shared" si="42"/>
        <v>8.3100459183673472</v>
      </c>
      <c r="D52" s="37">
        <f t="shared" ref="D52:E52" si="43">+(D41-D44)/D47</f>
        <v>8.9786808510638316</v>
      </c>
      <c r="E52" s="37">
        <f t="shared" si="43"/>
        <v>7.7286108374384241</v>
      </c>
      <c r="F52" s="37">
        <f t="shared" ref="F52:G52" si="44">+(F41-F44)/F47</f>
        <v>9.122380050329701</v>
      </c>
      <c r="G52" s="37">
        <f t="shared" si="44"/>
        <v>8.5570211697240488</v>
      </c>
      <c r="H52" s="37">
        <f t="shared" ref="H52:I52" si="45">+(H41-H44)/H47</f>
        <v>7.4715469023921939</v>
      </c>
      <c r="I52" s="37">
        <f t="shared" si="45"/>
        <v>5.9657446528384543</v>
      </c>
      <c r="J52" s="37">
        <f t="shared" ref="J52:S52" si="46">+(J41-J44)/J47</f>
        <v>9.4275388152438069</v>
      </c>
      <c r="K52" s="37">
        <f t="shared" si="46"/>
        <v>7.9131333087983693</v>
      </c>
      <c r="L52" s="37">
        <f t="shared" si="46"/>
        <v>8.2010130786262287</v>
      </c>
      <c r="M52" s="37">
        <f t="shared" si="46"/>
        <v>7.5762188830130279</v>
      </c>
      <c r="N52" s="37">
        <f t="shared" si="46"/>
        <v>7.6428500687076761</v>
      </c>
      <c r="O52" s="37">
        <f t="shared" si="46"/>
        <v>7.6006241022338887</v>
      </c>
      <c r="P52" s="37">
        <f t="shared" si="46"/>
        <v>8.1289196398588341</v>
      </c>
      <c r="Q52" s="37">
        <f t="shared" si="46"/>
        <v>8.42321886614668</v>
      </c>
      <c r="R52" s="37">
        <f t="shared" si="46"/>
        <v>9.1466785868903351</v>
      </c>
      <c r="S52" s="37">
        <f t="shared" si="46"/>
        <v>9.0541841857824608</v>
      </c>
    </row>
    <row r="53" spans="1:22" s="38" customFormat="1">
      <c r="A53" s="38" t="s">
        <v>81</v>
      </c>
      <c r="B53" s="38">
        <f t="shared" ref="B53:C53" si="47">+B48/B41</f>
        <v>5.7926678989525561E-2</v>
      </c>
      <c r="C53" s="38">
        <f t="shared" si="47"/>
        <v>1.3435336976320579E-2</v>
      </c>
      <c r="D53" s="38">
        <f t="shared" ref="D53:E53" si="48">+D48/D41</f>
        <v>-1.9768242906450732E-2</v>
      </c>
      <c r="E53" s="38">
        <f t="shared" si="48"/>
        <v>-8.6889317416130804E-3</v>
      </c>
      <c r="F53" s="38">
        <f t="shared" ref="F53:G53" si="49">+F48/F41</f>
        <v>-5.0050843742626472E-2</v>
      </c>
      <c r="G53" s="38">
        <f t="shared" si="49"/>
        <v>-0.11835520078405388</v>
      </c>
      <c r="H53" s="38">
        <f t="shared" ref="H53:M53" si="50">+H48/H41</f>
        <v>-5.6833538083538075E-2</v>
      </c>
      <c r="I53" s="38">
        <f t="shared" si="50"/>
        <v>-0.11079881656804735</v>
      </c>
      <c r="J53" s="38">
        <f t="shared" si="50"/>
        <v>-3.9176073939924776E-2</v>
      </c>
      <c r="K53" s="38">
        <f t="shared" si="50"/>
        <v>1.3237189282185853E-2</v>
      </c>
      <c r="L53" s="38">
        <f t="shared" si="50"/>
        <v>2.2431889592930798E-2</v>
      </c>
      <c r="M53" s="38">
        <f t="shared" si="50"/>
        <v>5.9247582699131704E-2</v>
      </c>
      <c r="N53" s="38">
        <f t="shared" ref="N53:S53" si="51">+N48/N41</f>
        <v>7.1189349126637033E-2</v>
      </c>
      <c r="O53" s="38">
        <f t="shared" si="51"/>
        <v>5.6698085744246944E-2</v>
      </c>
      <c r="P53" s="38">
        <f t="shared" si="51"/>
        <v>-1.3742151406718681E-2</v>
      </c>
      <c r="Q53" s="38">
        <f t="shared" si="51"/>
        <v>-1.0605615806364821E-2</v>
      </c>
      <c r="R53" s="38">
        <f t="shared" si="51"/>
        <v>-2.6048361060178729E-2</v>
      </c>
      <c r="S53" s="38">
        <f t="shared" si="51"/>
        <v>-3.2299672520384175E-2</v>
      </c>
    </row>
    <row r="54" spans="1:22" s="38" customFormat="1">
      <c r="A54" s="39" t="s">
        <v>82</v>
      </c>
      <c r="B54" s="40">
        <v>10</v>
      </c>
      <c r="C54" s="40">
        <v>10</v>
      </c>
      <c r="D54" s="40">
        <v>10</v>
      </c>
      <c r="E54" s="40">
        <v>10</v>
      </c>
      <c r="F54" s="40">
        <v>10</v>
      </c>
      <c r="G54" s="40">
        <v>10</v>
      </c>
      <c r="H54" s="40">
        <v>10</v>
      </c>
      <c r="I54" s="40">
        <v>10</v>
      </c>
      <c r="J54" s="40">
        <v>10</v>
      </c>
      <c r="K54" s="40">
        <v>10</v>
      </c>
      <c r="L54" s="40">
        <v>10</v>
      </c>
      <c r="M54" s="40">
        <v>10</v>
      </c>
      <c r="N54" s="40">
        <v>10</v>
      </c>
      <c r="O54" s="40">
        <v>10</v>
      </c>
      <c r="P54" s="40">
        <v>10</v>
      </c>
      <c r="Q54" s="40">
        <v>10</v>
      </c>
      <c r="R54" s="40">
        <v>10</v>
      </c>
      <c r="S54" s="40">
        <v>10</v>
      </c>
      <c r="T54" s="39"/>
      <c r="U54" s="39"/>
      <c r="V54" s="39"/>
    </row>
    <row r="55" spans="1:22" s="38" customFormat="1">
      <c r="A55" s="38" t="s">
        <v>83</v>
      </c>
      <c r="B55" s="41" t="str">
        <f t="shared" ref="B55:C55" si="52">IF(B42=0,IF(B54="","","*"&amp;TEXT(B54,"0.0x")),(B41+B42-B44)/B47)</f>
        <v>*10.0x</v>
      </c>
      <c r="C55" s="41" t="str">
        <f t="shared" si="52"/>
        <v>*10.0x</v>
      </c>
      <c r="D55" s="41" t="str">
        <f t="shared" ref="D55:E55" si="53">IF(D42=0,IF(D54="","","*"&amp;TEXT(D54,"0.0x")),(D41+D42-D44)/D47)</f>
        <v>*10.0x</v>
      </c>
      <c r="E55" s="41" t="str">
        <f t="shared" si="53"/>
        <v>*10.0x</v>
      </c>
      <c r="F55" s="41" t="str">
        <f t="shared" ref="F55:G55" si="54">IF(F42=0,IF(F54="","","*"&amp;TEXT(F54,"0.0x")),(F41+F42-F44)/F47)</f>
        <v>*10.0x</v>
      </c>
      <c r="G55" s="41" t="str">
        <f t="shared" si="54"/>
        <v>*10.0x</v>
      </c>
      <c r="H55" s="41" t="str">
        <f t="shared" ref="H55:M55" si="55">IF(H42=0,IF(H54="","","*"&amp;TEXT(H54,"0.0x")),(H41+H42-H44)/H47)</f>
        <v>*10.0x</v>
      </c>
      <c r="I55" s="41" t="str">
        <f t="shared" si="55"/>
        <v>*10.0x</v>
      </c>
      <c r="J55" s="41" t="str">
        <f t="shared" si="55"/>
        <v>*10.0x</v>
      </c>
      <c r="K55" s="41" t="str">
        <f t="shared" si="55"/>
        <v>*10.0x</v>
      </c>
      <c r="L55" s="41" t="str">
        <f t="shared" si="55"/>
        <v>*10.0x</v>
      </c>
      <c r="M55" s="41" t="str">
        <f t="shared" si="55"/>
        <v>*10.0x</v>
      </c>
      <c r="N55" s="41" t="str">
        <f t="shared" ref="N55:S55" si="56">IF(N42=0,IF(N54="","","*"&amp;TEXT(N54,"0.0x")),(N41+N42-N44)/N47)</f>
        <v>*10.0x</v>
      </c>
      <c r="O55" s="41" t="str">
        <f t="shared" si="56"/>
        <v>*10.0x</v>
      </c>
      <c r="P55" s="41" t="str">
        <f t="shared" si="56"/>
        <v>*10.0x</v>
      </c>
      <c r="Q55" s="41" t="str">
        <f t="shared" si="56"/>
        <v>*10.0x</v>
      </c>
      <c r="R55" s="41" t="str">
        <f t="shared" si="56"/>
        <v>*10.0x</v>
      </c>
      <c r="S55" s="41" t="str">
        <f t="shared" si="56"/>
        <v>*10.0x</v>
      </c>
      <c r="T55" s="41" t="str">
        <f>IF(T42=0,IF(T54="","",CONCATENATE("* ",T54,"x")),(T41+T42-T44)/T47)</f>
        <v/>
      </c>
      <c r="U55" s="41" t="str">
        <f>IF(U42=0,IF(U54="","",CONCATENATE("* ",U54,"x")),(U41+U42-U44)/U47)</f>
        <v/>
      </c>
      <c r="V55" s="41" t="str">
        <f>IF(V42=0,IF(V54="","",CONCATENATE("* ",V54,"x")),(V41+V42-V44)/V47)</f>
        <v/>
      </c>
    </row>
    <row r="56" spans="1:22">
      <c r="S56" s="42"/>
    </row>
    <row r="57" spans="1:22" ht="80.25" customHeight="1">
      <c r="A57" s="43" t="s">
        <v>84</v>
      </c>
      <c r="B57" s="44" t="s">
        <v>289</v>
      </c>
      <c r="C57" s="44" t="s">
        <v>289</v>
      </c>
      <c r="D57" s="44" t="s">
        <v>289</v>
      </c>
      <c r="E57" s="44" t="s">
        <v>289</v>
      </c>
      <c r="F57" s="44" t="s">
        <v>90</v>
      </c>
      <c r="G57" s="44" t="s">
        <v>289</v>
      </c>
      <c r="H57" s="44" t="s">
        <v>289</v>
      </c>
      <c r="I57" s="44" t="s">
        <v>419</v>
      </c>
      <c r="J57" s="44" t="s">
        <v>90</v>
      </c>
      <c r="K57" s="44" t="s">
        <v>90</v>
      </c>
      <c r="L57" s="44"/>
      <c r="M57" s="44" t="s">
        <v>90</v>
      </c>
      <c r="N57" s="44" t="s">
        <v>90</v>
      </c>
      <c r="O57" s="44" t="s">
        <v>90</v>
      </c>
      <c r="P57" s="44"/>
      <c r="Q57" s="44"/>
      <c r="R57" s="44"/>
      <c r="S57" s="44"/>
      <c r="T57" s="44"/>
      <c r="U57" s="44"/>
      <c r="V57" s="44"/>
    </row>
    <row r="58" spans="1:22">
      <c r="A58" s="45"/>
      <c r="B58" s="42"/>
      <c r="C58" s="42"/>
      <c r="D58" s="42"/>
      <c r="E58" s="42"/>
      <c r="F58" s="42"/>
      <c r="G58" s="42"/>
      <c r="H58" s="42"/>
      <c r="I58" s="42"/>
      <c r="J58" s="42"/>
      <c r="K58" s="42"/>
      <c r="L58" s="42"/>
      <c r="M58" s="42"/>
      <c r="N58" s="42"/>
      <c r="O58" s="42"/>
    </row>
    <row r="59" spans="1:22">
      <c r="A59" s="45"/>
    </row>
  </sheetData>
  <pageMargins left="0.7" right="0.7" top="0.75" bottom="0.75" header="0.3" footer="0.3"/>
  <pageSetup orientation="portrait" r:id="rId1"/>
  <ignoredErrors>
    <ignoredError sqref="G48:S50 H46:S47 G46:G47 E46 E47:F47 F46 C47:D47 C46:D46" formulaRange="1"/>
  </ignoredErrors>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2:BB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1" width="10.6640625" style="14" customWidth="1"/>
    <col min="12" max="23" width="10.6640625" style="14" hidden="1" customWidth="1"/>
    <col min="24" max="16384" width="9.109375" style="14"/>
  </cols>
  <sheetData>
    <row r="2" spans="1:54">
      <c r="A2" s="13" t="s">
        <v>44</v>
      </c>
      <c r="B2" s="14" t="s">
        <v>255</v>
      </c>
    </row>
    <row r="3" spans="1:54" s="16" customFormat="1">
      <c r="A3" s="15" t="s">
        <v>45</v>
      </c>
      <c r="B3" s="16" t="s">
        <v>256</v>
      </c>
    </row>
    <row r="4" spans="1:54">
      <c r="A4" s="13" t="s">
        <v>2</v>
      </c>
      <c r="B4" s="14" t="s">
        <v>4</v>
      </c>
    </row>
    <row r="5" spans="1:54">
      <c r="A5" s="13" t="s">
        <v>46</v>
      </c>
    </row>
    <row r="6" spans="1:54">
      <c r="A6" s="13" t="s">
        <v>47</v>
      </c>
    </row>
    <row r="7" spans="1:54">
      <c r="A7" s="13" t="s">
        <v>48</v>
      </c>
      <c r="B7" s="14" t="s">
        <v>456</v>
      </c>
    </row>
    <row r="8" spans="1:54">
      <c r="A8" s="13" t="s">
        <v>347</v>
      </c>
      <c r="B8" s="14" t="s">
        <v>369</v>
      </c>
    </row>
    <row r="9" spans="1:54" ht="15.6">
      <c r="A9" s="17"/>
      <c r="AE9" s="56" t="s">
        <v>257</v>
      </c>
      <c r="AF9" s="56"/>
      <c r="AG9" s="56"/>
      <c r="AH9" s="56"/>
      <c r="AI9" s="56"/>
      <c r="AJ9" s="56"/>
      <c r="AK9" s="56"/>
      <c r="AL9" s="56"/>
      <c r="AM9" s="56"/>
      <c r="AN9" s="56"/>
      <c r="AO9" s="56"/>
      <c r="AP9" s="56"/>
      <c r="AQ9" s="56"/>
      <c r="AR9" s="56"/>
      <c r="AS9" s="56"/>
      <c r="AT9" s="56"/>
      <c r="AU9" s="56"/>
      <c r="AV9" s="56"/>
      <c r="AW9" s="56"/>
      <c r="AX9" s="56"/>
      <c r="AY9" s="56"/>
      <c r="AZ9" s="56"/>
      <c r="BA9" s="56"/>
      <c r="BB9" s="56"/>
    </row>
    <row r="10" spans="1:54">
      <c r="A10" s="17" t="s">
        <v>49</v>
      </c>
      <c r="B10" s="18">
        <v>44377</v>
      </c>
      <c r="C10" s="18">
        <v>44286</v>
      </c>
      <c r="D10" s="18">
        <v>44196</v>
      </c>
      <c r="E10" s="18">
        <v>44104</v>
      </c>
      <c r="F10" s="18">
        <v>44012</v>
      </c>
      <c r="G10" s="18">
        <v>43921</v>
      </c>
      <c r="H10" s="18">
        <v>43830</v>
      </c>
      <c r="I10" s="18">
        <v>43738</v>
      </c>
      <c r="J10" s="18">
        <v>43646</v>
      </c>
      <c r="K10" s="18">
        <v>43555</v>
      </c>
      <c r="L10" s="18">
        <v>43465</v>
      </c>
      <c r="M10" s="18">
        <v>43373</v>
      </c>
      <c r="N10" s="18">
        <v>43281</v>
      </c>
      <c r="O10" s="18">
        <v>43190</v>
      </c>
      <c r="P10" s="18">
        <f>EOMONTH(O10,-3)</f>
        <v>43100</v>
      </c>
      <c r="Q10" s="18">
        <f t="shared" ref="Q10:W10" si="0">EOMONTH(P10,-3)</f>
        <v>43008</v>
      </c>
      <c r="R10" s="18">
        <f t="shared" si="0"/>
        <v>42916</v>
      </c>
      <c r="S10" s="18">
        <f t="shared" si="0"/>
        <v>42825</v>
      </c>
      <c r="T10" s="18">
        <f t="shared" si="0"/>
        <v>42735</v>
      </c>
      <c r="U10" s="18">
        <f t="shared" si="0"/>
        <v>42643</v>
      </c>
      <c r="V10" s="18">
        <f t="shared" si="0"/>
        <v>42551</v>
      </c>
      <c r="W10" s="18">
        <f t="shared" si="0"/>
        <v>42460</v>
      </c>
      <c r="AE10" s="64">
        <v>43160</v>
      </c>
      <c r="AF10" s="64">
        <f t="shared" ref="AF10:BB10" si="1">EOMONTH(AE10,-1)</f>
        <v>43159</v>
      </c>
      <c r="AG10" s="64">
        <f t="shared" si="1"/>
        <v>43131</v>
      </c>
      <c r="AH10" s="64">
        <f t="shared" si="1"/>
        <v>43100</v>
      </c>
      <c r="AI10" s="64">
        <f t="shared" si="1"/>
        <v>43069</v>
      </c>
      <c r="AJ10" s="64">
        <f t="shared" si="1"/>
        <v>43039</v>
      </c>
      <c r="AK10" s="64">
        <f t="shared" si="1"/>
        <v>43008</v>
      </c>
      <c r="AL10" s="64">
        <f t="shared" si="1"/>
        <v>42978</v>
      </c>
      <c r="AM10" s="64">
        <f t="shared" si="1"/>
        <v>42947</v>
      </c>
      <c r="AN10" s="64">
        <f t="shared" si="1"/>
        <v>42916</v>
      </c>
      <c r="AO10" s="64">
        <f t="shared" si="1"/>
        <v>42886</v>
      </c>
      <c r="AP10" s="64">
        <f t="shared" si="1"/>
        <v>42855</v>
      </c>
      <c r="AQ10" s="64">
        <f t="shared" si="1"/>
        <v>42825</v>
      </c>
      <c r="AR10" s="64">
        <f t="shared" si="1"/>
        <v>42794</v>
      </c>
      <c r="AS10" s="64">
        <f t="shared" si="1"/>
        <v>42766</v>
      </c>
      <c r="AT10" s="64">
        <f t="shared" si="1"/>
        <v>42735</v>
      </c>
      <c r="AU10" s="64">
        <f t="shared" si="1"/>
        <v>42704</v>
      </c>
      <c r="AV10" s="64">
        <f t="shared" si="1"/>
        <v>42674</v>
      </c>
      <c r="AW10" s="64">
        <f t="shared" si="1"/>
        <v>42643</v>
      </c>
      <c r="AX10" s="64">
        <f t="shared" si="1"/>
        <v>42613</v>
      </c>
      <c r="AY10" s="64">
        <f t="shared" si="1"/>
        <v>42582</v>
      </c>
      <c r="AZ10" s="64">
        <f t="shared" si="1"/>
        <v>42551</v>
      </c>
      <c r="BA10" s="64">
        <f t="shared" si="1"/>
        <v>42521</v>
      </c>
      <c r="BB10" s="64">
        <f t="shared" si="1"/>
        <v>42490</v>
      </c>
    </row>
    <row r="11" spans="1:54">
      <c r="B11" s="33"/>
      <c r="C11" s="33"/>
      <c r="D11" s="33"/>
      <c r="E11" s="33"/>
      <c r="L11" s="33"/>
      <c r="P11" s="33"/>
    </row>
    <row r="12" spans="1:54">
      <c r="A12" s="19" t="s">
        <v>50</v>
      </c>
      <c r="B12" s="20">
        <v>235.2</v>
      </c>
      <c r="C12" s="20">
        <v>193.8</v>
      </c>
      <c r="D12" s="20">
        <f>734.4-E12-F12-G12</f>
        <v>200.00000000000003</v>
      </c>
      <c r="E12" s="20">
        <v>215.7</v>
      </c>
      <c r="F12" s="20">
        <v>139.6</v>
      </c>
      <c r="G12" s="20">
        <v>179.1</v>
      </c>
      <c r="H12" s="20">
        <f>762.3-I12-J12-K12</f>
        <v>194.19999999999993</v>
      </c>
      <c r="I12" s="20">
        <v>199.1</v>
      </c>
      <c r="J12" s="20">
        <v>190</v>
      </c>
      <c r="K12" s="20">
        <v>179</v>
      </c>
      <c r="L12" s="20">
        <v>112.6</v>
      </c>
      <c r="M12" s="20">
        <v>170.9</v>
      </c>
      <c r="N12" s="20">
        <v>155.9</v>
      </c>
      <c r="O12" s="20">
        <v>128.30000000000001</v>
      </c>
      <c r="P12" s="20">
        <f>519-S12-R12-Q12</f>
        <v>123.60000000000002</v>
      </c>
      <c r="Q12" s="20">
        <f>395.4-S12-R12</f>
        <v>128.69999999999996</v>
      </c>
      <c r="R12" s="20">
        <v>131.4</v>
      </c>
      <c r="S12" s="20">
        <v>135.30000000000001</v>
      </c>
      <c r="T12" s="20">
        <f>466-W12-V12-U12</f>
        <v>118.1</v>
      </c>
      <c r="U12" s="20">
        <f>347.9-W12-V12</f>
        <v>128.39999999999998</v>
      </c>
      <c r="V12" s="20">
        <f>219.5-W12</f>
        <v>100.4</v>
      </c>
      <c r="W12" s="20">
        <v>119.1</v>
      </c>
      <c r="Z12" s="38"/>
    </row>
    <row r="13" spans="1:54" s="21" customFormat="1">
      <c r="A13" s="21" t="s">
        <v>51</v>
      </c>
      <c r="B13" s="21">
        <f t="shared" ref="B13:R13" si="2">+B12/F12-1</f>
        <v>0.68481375358166185</v>
      </c>
      <c r="C13" s="21">
        <f t="shared" si="2"/>
        <v>8.2077051926298328E-2</v>
      </c>
      <c r="D13" s="21">
        <f t="shared" si="2"/>
        <v>2.986611740473788E-2</v>
      </c>
      <c r="E13" s="21">
        <f t="shared" si="2"/>
        <v>8.3375188347563967E-2</v>
      </c>
      <c r="F13" s="21">
        <f t="shared" si="2"/>
        <v>-0.26526315789473687</v>
      </c>
      <c r="G13" s="21">
        <f t="shared" si="2"/>
        <v>5.5865921787701112E-4</v>
      </c>
      <c r="H13" s="21">
        <f t="shared" si="2"/>
        <v>0.72468916518650039</v>
      </c>
      <c r="I13" s="21">
        <f t="shared" si="2"/>
        <v>0.16500877706260964</v>
      </c>
      <c r="J13" s="21">
        <f t="shared" si="2"/>
        <v>0.21872995509942261</v>
      </c>
      <c r="K13" s="21">
        <f t="shared" si="2"/>
        <v>0.39516757599376451</v>
      </c>
      <c r="L13" s="21">
        <f>+L12/P12-1</f>
        <v>-8.8996763754045527E-2</v>
      </c>
      <c r="M13" s="21">
        <f t="shared" si="2"/>
        <v>0.32789432789432826</v>
      </c>
      <c r="N13" s="21">
        <f t="shared" si="2"/>
        <v>0.18645357686453568</v>
      </c>
      <c r="O13" s="21">
        <f t="shared" si="2"/>
        <v>-5.1736881005173707E-2</v>
      </c>
      <c r="P13" s="21">
        <f t="shared" si="2"/>
        <v>4.6570702794242358E-2</v>
      </c>
      <c r="Q13" s="21">
        <f t="shared" si="2"/>
        <v>2.3364485981307581E-3</v>
      </c>
      <c r="R13" s="21">
        <f t="shared" si="2"/>
        <v>0.30876494023904377</v>
      </c>
    </row>
    <row r="14" spans="1:54" s="24" customFormat="1">
      <c r="A14" s="22" t="s">
        <v>52</v>
      </c>
      <c r="B14" s="129" t="s">
        <v>3</v>
      </c>
      <c r="C14" s="129" t="s">
        <v>3</v>
      </c>
      <c r="D14" s="23" t="s">
        <v>3</v>
      </c>
      <c r="E14" s="129">
        <f>3.4/I12</f>
        <v>1.7076845806127575E-2</v>
      </c>
      <c r="F14" s="23" t="s">
        <v>3</v>
      </c>
      <c r="G14" s="23" t="s">
        <v>3</v>
      </c>
      <c r="H14" s="23" t="s">
        <v>3</v>
      </c>
      <c r="I14" s="23" t="s">
        <v>3</v>
      </c>
      <c r="J14" s="23" t="s">
        <v>3</v>
      </c>
      <c r="K14" s="23" t="s">
        <v>3</v>
      </c>
      <c r="L14" s="23" t="s">
        <v>3</v>
      </c>
      <c r="M14" s="23" t="s">
        <v>3</v>
      </c>
      <c r="N14" s="23" t="s">
        <v>3</v>
      </c>
      <c r="O14" s="23" t="s">
        <v>3</v>
      </c>
      <c r="P14" s="23" t="s">
        <v>3</v>
      </c>
      <c r="Q14" s="23" t="s">
        <v>3</v>
      </c>
      <c r="R14" s="23" t="s">
        <v>3</v>
      </c>
      <c r="S14" s="22"/>
      <c r="T14" s="22"/>
      <c r="U14" s="22"/>
      <c r="V14" s="22"/>
      <c r="W14" s="22"/>
    </row>
    <row r="15" spans="1:54">
      <c r="B15" s="33"/>
      <c r="C15" s="33"/>
      <c r="D15" s="33"/>
      <c r="E15" s="33"/>
      <c r="F15" s="33"/>
    </row>
    <row r="16" spans="1:54" s="17" customFormat="1">
      <c r="A16" s="25" t="s">
        <v>53</v>
      </c>
      <c r="B16" s="26">
        <v>54.3</v>
      </c>
      <c r="C16" s="26">
        <v>45.7</v>
      </c>
      <c r="D16" s="26">
        <v>50.1</v>
      </c>
      <c r="E16" s="26">
        <v>54.5</v>
      </c>
      <c r="F16" s="26">
        <v>23.3</v>
      </c>
      <c r="G16" s="26">
        <v>45.7</v>
      </c>
      <c r="H16" s="26">
        <v>40.4</v>
      </c>
      <c r="I16" s="26">
        <v>51.6</v>
      </c>
      <c r="J16" s="26">
        <v>48.5</v>
      </c>
      <c r="K16" s="26">
        <v>46.8</v>
      </c>
      <c r="L16" s="26">
        <v>21.2</v>
      </c>
      <c r="M16" s="26">
        <v>42</v>
      </c>
      <c r="N16" s="26">
        <v>39.200000000000003</v>
      </c>
      <c r="O16" s="26">
        <v>35.299999999999997</v>
      </c>
      <c r="P16" s="26">
        <v>28.8</v>
      </c>
      <c r="Q16" s="26">
        <v>27.9</v>
      </c>
      <c r="R16" s="26">
        <v>30</v>
      </c>
      <c r="S16" s="26">
        <v>32.6</v>
      </c>
      <c r="T16" s="26">
        <f>98.1-W16-V16-U16</f>
        <v>28.299999999999997</v>
      </c>
      <c r="U16" s="26">
        <f>69.8-W16-V16</f>
        <v>34.599999999999994</v>
      </c>
      <c r="V16" s="26">
        <f>35.2-W16</f>
        <v>17.000000000000004</v>
      </c>
      <c r="W16" s="26">
        <v>18.2</v>
      </c>
    </row>
    <row r="17" spans="1:54" s="21" customFormat="1">
      <c r="A17" s="21" t="s">
        <v>54</v>
      </c>
      <c r="B17" s="21">
        <f t="shared" ref="B17:C17" si="3">+B16/B12</f>
        <v>0.2308673469387755</v>
      </c>
      <c r="C17" s="21">
        <f t="shared" si="3"/>
        <v>0.23581011351909184</v>
      </c>
      <c r="D17" s="21">
        <f t="shared" ref="D17:E17" si="4">+D16/D12</f>
        <v>0.25049999999999994</v>
      </c>
      <c r="E17" s="21">
        <f t="shared" si="4"/>
        <v>0.2526657394529439</v>
      </c>
      <c r="F17" s="21">
        <f t="shared" ref="F17:G17" si="5">+F16/F12</f>
        <v>0.1669054441260745</v>
      </c>
      <c r="G17" s="21">
        <f t="shared" si="5"/>
        <v>0.25516471245114464</v>
      </c>
      <c r="H17" s="21">
        <f t="shared" ref="H17:I17" si="6">+H16/H12</f>
        <v>0.20803295571575703</v>
      </c>
      <c r="I17" s="21">
        <f t="shared" si="6"/>
        <v>0.25916624811652439</v>
      </c>
      <c r="J17" s="21">
        <f t="shared" ref="J17:O17" si="7">+J16/J12</f>
        <v>0.25526315789473686</v>
      </c>
      <c r="K17" s="21">
        <f t="shared" si="7"/>
        <v>0.26145251396648045</v>
      </c>
      <c r="L17" s="21">
        <f t="shared" si="7"/>
        <v>0.18827708703374779</v>
      </c>
      <c r="M17" s="21">
        <f t="shared" si="7"/>
        <v>0.2457577530719719</v>
      </c>
      <c r="N17" s="21">
        <f t="shared" si="7"/>
        <v>0.25144323284156511</v>
      </c>
      <c r="O17" s="21">
        <f t="shared" si="7"/>
        <v>0.27513639906469206</v>
      </c>
      <c r="P17" s="21">
        <f t="shared" ref="P17:V17" si="8">+P16/P12</f>
        <v>0.23300970873786403</v>
      </c>
      <c r="Q17" s="21">
        <f t="shared" si="8"/>
        <v>0.21678321678321683</v>
      </c>
      <c r="R17" s="21">
        <f t="shared" si="8"/>
        <v>0.22831050228310501</v>
      </c>
      <c r="S17" s="21">
        <f t="shared" si="8"/>
        <v>0.2409460458240946</v>
      </c>
      <c r="T17" s="21">
        <f t="shared" si="8"/>
        <v>0.23962743437764605</v>
      </c>
      <c r="U17" s="21">
        <f t="shared" si="8"/>
        <v>0.26947040498442371</v>
      </c>
      <c r="V17" s="21">
        <f t="shared" si="8"/>
        <v>0.16932270916334663</v>
      </c>
      <c r="W17" s="21">
        <f>+W16/W12</f>
        <v>0.1528127623845508</v>
      </c>
    </row>
    <row r="18" spans="1:54" s="24" customFormat="1"/>
    <row r="19" spans="1:54"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row>
    <row r="20" spans="1:54"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row>
    <row r="21" spans="1:54"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row>
    <row r="22" spans="1:54" s="17" customFormat="1">
      <c r="A22" s="17" t="s">
        <v>58</v>
      </c>
      <c r="B22" s="27">
        <f t="shared" ref="B22:C22" si="9">SUM(B16,B19:B21)</f>
        <v>54.3</v>
      </c>
      <c r="C22" s="27">
        <f t="shared" si="9"/>
        <v>45.7</v>
      </c>
      <c r="D22" s="27">
        <f t="shared" ref="D22:E22" si="10">SUM(D16,D19:D21)</f>
        <v>50.1</v>
      </c>
      <c r="E22" s="27">
        <f t="shared" si="10"/>
        <v>54.5</v>
      </c>
      <c r="F22" s="27">
        <f t="shared" ref="F22:G22" si="11">SUM(F16,F19:F21)</f>
        <v>23.3</v>
      </c>
      <c r="G22" s="27">
        <f t="shared" si="11"/>
        <v>45.7</v>
      </c>
      <c r="H22" s="27">
        <f t="shared" ref="H22:I22" si="12">SUM(H16,H19:H21)</f>
        <v>40.4</v>
      </c>
      <c r="I22" s="27">
        <f t="shared" si="12"/>
        <v>51.6</v>
      </c>
      <c r="J22" s="27">
        <f t="shared" ref="J22:O22" si="13">SUM(J16,J19:J21)</f>
        <v>48.5</v>
      </c>
      <c r="K22" s="27">
        <f t="shared" si="13"/>
        <v>46.8</v>
      </c>
      <c r="L22" s="27">
        <f t="shared" si="13"/>
        <v>21.2</v>
      </c>
      <c r="M22" s="27">
        <f t="shared" si="13"/>
        <v>42</v>
      </c>
      <c r="N22" s="27">
        <f t="shared" si="13"/>
        <v>39.200000000000003</v>
      </c>
      <c r="O22" s="27">
        <f t="shared" si="13"/>
        <v>35.299999999999997</v>
      </c>
      <c r="P22" s="27">
        <f t="shared" ref="P22:V22" si="14">SUM(P16,P19:P21)</f>
        <v>28.8</v>
      </c>
      <c r="Q22" s="27">
        <f t="shared" si="14"/>
        <v>27.9</v>
      </c>
      <c r="R22" s="27">
        <f t="shared" si="14"/>
        <v>30</v>
      </c>
      <c r="S22" s="27">
        <f t="shared" si="14"/>
        <v>32.6</v>
      </c>
      <c r="T22" s="27">
        <f t="shared" si="14"/>
        <v>28.299999999999997</v>
      </c>
      <c r="U22" s="27">
        <f t="shared" si="14"/>
        <v>34.599999999999994</v>
      </c>
      <c r="V22" s="27">
        <f t="shared" si="14"/>
        <v>17.000000000000004</v>
      </c>
      <c r="W22" s="27">
        <f>SUM(W16,W19:W21)</f>
        <v>18.2</v>
      </c>
    </row>
    <row r="23" spans="1:54" s="17" customFormat="1">
      <c r="B23" s="21"/>
      <c r="C23" s="21"/>
      <c r="D23" s="21"/>
      <c r="E23" s="21"/>
      <c r="F23" s="21"/>
      <c r="G23" s="21"/>
      <c r="H23" s="21"/>
      <c r="I23" s="21"/>
      <c r="J23" s="21"/>
      <c r="K23" s="21"/>
      <c r="L23" s="21"/>
      <c r="M23" s="21"/>
      <c r="N23" s="27"/>
      <c r="O23" s="27"/>
      <c r="P23" s="27"/>
      <c r="Q23" s="27"/>
      <c r="R23" s="27"/>
      <c r="S23" s="27"/>
      <c r="T23" s="27"/>
      <c r="U23" s="27"/>
      <c r="V23" s="27"/>
      <c r="W23" s="27"/>
    </row>
    <row r="24" spans="1:54" s="17" customFormat="1">
      <c r="A24" s="17" t="s">
        <v>59</v>
      </c>
      <c r="B24" s="27">
        <f t="shared" ref="B24:S24" si="15">SUM(B22:E22)</f>
        <v>204.6</v>
      </c>
      <c r="C24" s="27">
        <f t="shared" si="15"/>
        <v>173.60000000000002</v>
      </c>
      <c r="D24" s="27">
        <f t="shared" si="15"/>
        <v>173.6</v>
      </c>
      <c r="E24" s="27">
        <f t="shared" si="15"/>
        <v>163.9</v>
      </c>
      <c r="F24" s="27">
        <f t="shared" si="15"/>
        <v>161</v>
      </c>
      <c r="G24" s="27">
        <f t="shared" si="15"/>
        <v>186.2</v>
      </c>
      <c r="H24" s="27">
        <f t="shared" si="15"/>
        <v>187.3</v>
      </c>
      <c r="I24" s="27">
        <f t="shared" si="15"/>
        <v>168.09999999999997</v>
      </c>
      <c r="J24" s="27">
        <f t="shared" si="15"/>
        <v>158.5</v>
      </c>
      <c r="K24" s="27">
        <f t="shared" si="15"/>
        <v>149.19999999999999</v>
      </c>
      <c r="L24" s="27">
        <f t="shared" si="15"/>
        <v>137.69999999999999</v>
      </c>
      <c r="M24" s="27">
        <f t="shared" si="15"/>
        <v>145.30000000000001</v>
      </c>
      <c r="N24" s="27">
        <f t="shared" si="15"/>
        <v>131.19999999999999</v>
      </c>
      <c r="O24" s="27">
        <f t="shared" si="15"/>
        <v>122</v>
      </c>
      <c r="P24" s="27">
        <f t="shared" si="15"/>
        <v>119.30000000000001</v>
      </c>
      <c r="Q24" s="27">
        <f t="shared" si="15"/>
        <v>118.8</v>
      </c>
      <c r="R24" s="27">
        <f t="shared" si="15"/>
        <v>125.5</v>
      </c>
      <c r="S24" s="27">
        <f t="shared" si="15"/>
        <v>112.5</v>
      </c>
      <c r="T24" s="27"/>
      <c r="U24" s="27"/>
      <c r="V24" s="27"/>
      <c r="W24" s="27"/>
    </row>
    <row r="25" spans="1:54" s="24" customFormat="1">
      <c r="A25" s="19" t="s">
        <v>60</v>
      </c>
      <c r="B25" s="28">
        <f>215.3-B24</f>
        <v>10.700000000000017</v>
      </c>
      <c r="C25" s="28">
        <f>198.5-C24</f>
        <v>24.899999999999977</v>
      </c>
      <c r="D25" s="28">
        <f>192.9-D24</f>
        <v>19.300000000000011</v>
      </c>
      <c r="E25" s="28">
        <f>174-E24</f>
        <v>10.099999999999994</v>
      </c>
      <c r="F25" s="28">
        <f>172.4-F24</f>
        <v>11.400000000000006</v>
      </c>
      <c r="G25" s="28">
        <f>184.9-G24</f>
        <v>-1.2999999999999829</v>
      </c>
      <c r="H25" s="28">
        <f>186-H24</f>
        <v>-1.3000000000000114</v>
      </c>
      <c r="I25" s="28">
        <f>174.8-I24</f>
        <v>6.7000000000000455</v>
      </c>
      <c r="J25" s="28">
        <f>174.7-J24</f>
        <v>16.199999999999989</v>
      </c>
      <c r="K25" s="28">
        <f>174.4-K24</f>
        <v>25.200000000000017</v>
      </c>
      <c r="L25" s="28">
        <f>139.1-L24</f>
        <v>1.4000000000000057</v>
      </c>
      <c r="M25" s="28">
        <f>145.7-M24</f>
        <v>0.39999999999997726</v>
      </c>
      <c r="N25" s="28">
        <f>139-N24</f>
        <v>7.8000000000000114</v>
      </c>
      <c r="O25" s="28">
        <v>0</v>
      </c>
      <c r="P25" s="28">
        <v>0</v>
      </c>
      <c r="Q25" s="28">
        <v>0</v>
      </c>
      <c r="R25" s="28">
        <v>0</v>
      </c>
      <c r="S25" s="28">
        <v>0</v>
      </c>
      <c r="T25" s="28"/>
      <c r="U25" s="28"/>
      <c r="V25" s="28"/>
      <c r="W25" s="28"/>
    </row>
    <row r="26" spans="1:54" s="24" customFormat="1">
      <c r="A26" s="19" t="s">
        <v>61</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v>0</v>
      </c>
      <c r="S26" s="29">
        <v>0</v>
      </c>
      <c r="T26" s="30"/>
      <c r="U26" s="30"/>
      <c r="V26" s="30"/>
      <c r="W26" s="30"/>
    </row>
    <row r="27" spans="1:54" s="32" customFormat="1">
      <c r="A27" s="17" t="s">
        <v>62</v>
      </c>
      <c r="B27" s="27">
        <f t="shared" ref="B27:C27" si="16">SUM(B24:B26)</f>
        <v>215.3</v>
      </c>
      <c r="C27" s="27">
        <f t="shared" si="16"/>
        <v>198.5</v>
      </c>
      <c r="D27" s="27">
        <f t="shared" ref="D27:E27" si="17">SUM(D24:D26)</f>
        <v>192.9</v>
      </c>
      <c r="E27" s="27">
        <f t="shared" si="17"/>
        <v>174</v>
      </c>
      <c r="F27" s="27">
        <f t="shared" ref="F27:G27" si="18">SUM(F24:F26)</f>
        <v>172.4</v>
      </c>
      <c r="G27" s="27">
        <f t="shared" si="18"/>
        <v>184.9</v>
      </c>
      <c r="H27" s="27">
        <f t="shared" ref="H27:I27" si="19">SUM(H24:H26)</f>
        <v>186</v>
      </c>
      <c r="I27" s="27">
        <f t="shared" si="19"/>
        <v>174.8</v>
      </c>
      <c r="J27" s="27">
        <f t="shared" ref="J27:S27" si="20">SUM(J24:J26)</f>
        <v>174.7</v>
      </c>
      <c r="K27" s="27">
        <f t="shared" si="20"/>
        <v>174.4</v>
      </c>
      <c r="L27" s="27">
        <f t="shared" si="20"/>
        <v>139.1</v>
      </c>
      <c r="M27" s="27">
        <f t="shared" si="20"/>
        <v>145.69999999999999</v>
      </c>
      <c r="N27" s="27">
        <f t="shared" si="20"/>
        <v>139</v>
      </c>
      <c r="O27" s="27">
        <f t="shared" si="20"/>
        <v>122</v>
      </c>
      <c r="P27" s="27">
        <f t="shared" si="20"/>
        <v>119.30000000000001</v>
      </c>
      <c r="Q27" s="27">
        <f t="shared" si="20"/>
        <v>118.8</v>
      </c>
      <c r="R27" s="27">
        <f t="shared" si="20"/>
        <v>125.5</v>
      </c>
      <c r="S27" s="27">
        <f t="shared" si="20"/>
        <v>112.5</v>
      </c>
      <c r="T27" s="31"/>
      <c r="U27" s="31"/>
      <c r="V27" s="31"/>
      <c r="W27" s="31"/>
    </row>
    <row r="28" spans="1:54" s="24" customFormat="1"/>
    <row r="29" spans="1:54" s="17" customFormat="1">
      <c r="A29" s="17" t="s">
        <v>58</v>
      </c>
      <c r="B29" s="27">
        <f t="shared" ref="B29" si="21">B22</f>
        <v>54.3</v>
      </c>
      <c r="C29" s="27">
        <f t="shared" ref="C29:D29" si="22">C22</f>
        <v>45.7</v>
      </c>
      <c r="D29" s="27">
        <f t="shared" si="22"/>
        <v>50.1</v>
      </c>
      <c r="E29" s="27">
        <f t="shared" ref="E29:F29" si="23">E22</f>
        <v>54.5</v>
      </c>
      <c r="F29" s="27">
        <f t="shared" si="23"/>
        <v>23.3</v>
      </c>
      <c r="G29" s="27">
        <f t="shared" ref="G29:I29" si="24">G22</f>
        <v>45.7</v>
      </c>
      <c r="H29" s="27">
        <f t="shared" si="24"/>
        <v>40.4</v>
      </c>
      <c r="I29" s="27">
        <f t="shared" si="24"/>
        <v>51.6</v>
      </c>
      <c r="J29" s="27">
        <f t="shared" ref="J29:V29" si="25">J22</f>
        <v>48.5</v>
      </c>
      <c r="K29" s="27">
        <f t="shared" si="25"/>
        <v>46.8</v>
      </c>
      <c r="L29" s="27">
        <f t="shared" si="25"/>
        <v>21.2</v>
      </c>
      <c r="M29" s="27">
        <f t="shared" si="25"/>
        <v>42</v>
      </c>
      <c r="N29" s="27">
        <f t="shared" si="25"/>
        <v>39.200000000000003</v>
      </c>
      <c r="O29" s="27">
        <f t="shared" si="25"/>
        <v>35.299999999999997</v>
      </c>
      <c r="P29" s="27">
        <f t="shared" si="25"/>
        <v>28.8</v>
      </c>
      <c r="Q29" s="27">
        <f t="shared" si="25"/>
        <v>27.9</v>
      </c>
      <c r="R29" s="27">
        <f t="shared" si="25"/>
        <v>30</v>
      </c>
      <c r="S29" s="27">
        <f t="shared" si="25"/>
        <v>32.6</v>
      </c>
      <c r="T29" s="27">
        <f t="shared" si="25"/>
        <v>28.299999999999997</v>
      </c>
      <c r="U29" s="27">
        <f t="shared" si="25"/>
        <v>34.599999999999994</v>
      </c>
      <c r="V29" s="27">
        <f t="shared" si="25"/>
        <v>17.000000000000004</v>
      </c>
      <c r="W29" s="27">
        <f>W22</f>
        <v>18.2</v>
      </c>
    </row>
    <row r="30" spans="1:54" s="33" customFormat="1">
      <c r="A30" s="20" t="s">
        <v>63</v>
      </c>
      <c r="B30" s="20">
        <f>-40.3-C30</f>
        <v>-20.299999999999997</v>
      </c>
      <c r="C30" s="20">
        <v>-20</v>
      </c>
      <c r="D30" s="20">
        <v>-18.899999999999999</v>
      </c>
      <c r="E30" s="20">
        <v>-22.1</v>
      </c>
      <c r="F30" s="20">
        <v>-18</v>
      </c>
      <c r="G30" s="20">
        <v>-19.8</v>
      </c>
      <c r="H30" s="20">
        <v>-21.1</v>
      </c>
      <c r="I30" s="20">
        <v>-22.3</v>
      </c>
      <c r="J30" s="20">
        <v>-22.3</v>
      </c>
      <c r="K30" s="20">
        <v>-20.9</v>
      </c>
      <c r="L30" s="20">
        <v>-22.2</v>
      </c>
      <c r="M30" s="20">
        <v>-15.3</v>
      </c>
      <c r="N30" s="20">
        <v>-10</v>
      </c>
      <c r="O30" s="20">
        <v>-8.5</v>
      </c>
      <c r="P30" s="20">
        <v>-7.7</v>
      </c>
      <c r="Q30" s="20">
        <v>-10</v>
      </c>
      <c r="R30" s="20">
        <v>-9.4</v>
      </c>
      <c r="S30" s="20">
        <f>AQ30+AR30+AS30</f>
        <v>-9.9</v>
      </c>
      <c r="T30" s="20">
        <f>AT30+AU30+AV30</f>
        <v>-10.100000000000001</v>
      </c>
      <c r="U30" s="20">
        <f>AW30+AX30+AY30</f>
        <v>-9.5</v>
      </c>
      <c r="V30" s="20">
        <f>AZ30+BA30+BB30</f>
        <v>-8.9</v>
      </c>
      <c r="W30" s="20"/>
      <c r="AE30" s="33">
        <v>-3.1</v>
      </c>
      <c r="AF30" s="33">
        <v>-2.5</v>
      </c>
      <c r="AG30" s="33">
        <v>-2.9</v>
      </c>
      <c r="AH30" s="33">
        <v>-2.9</v>
      </c>
      <c r="AI30" s="33">
        <v>-1.6</v>
      </c>
      <c r="AJ30" s="33">
        <v>-3.2</v>
      </c>
      <c r="AK30" s="33">
        <v>-3.5</v>
      </c>
      <c r="AL30" s="33">
        <v>-3.4</v>
      </c>
      <c r="AM30" s="33">
        <v>-3.2</v>
      </c>
      <c r="AN30" s="33">
        <v>-3.4</v>
      </c>
      <c r="AO30" s="33">
        <v>-3</v>
      </c>
      <c r="AP30" s="33">
        <v>-3</v>
      </c>
      <c r="AQ30" s="33">
        <v>-3.4</v>
      </c>
      <c r="AR30" s="33">
        <v>-3</v>
      </c>
      <c r="AS30" s="33">
        <v>-3.5</v>
      </c>
      <c r="AT30" s="33">
        <v>-3.6</v>
      </c>
      <c r="AU30" s="33">
        <v>-3.2</v>
      </c>
      <c r="AV30" s="33">
        <v>-3.3</v>
      </c>
      <c r="AW30" s="33">
        <v>-3.2</v>
      </c>
      <c r="AX30" s="33">
        <v>-3.1</v>
      </c>
      <c r="AY30" s="33">
        <v>-3.2</v>
      </c>
      <c r="AZ30" s="33">
        <v>-2.9</v>
      </c>
      <c r="BA30" s="33">
        <v>-2.9</v>
      </c>
      <c r="BB30" s="33">
        <v>-3.1</v>
      </c>
    </row>
    <row r="31" spans="1:54" s="33" customFormat="1">
      <c r="A31" s="20" t="s">
        <v>64</v>
      </c>
      <c r="B31" s="20">
        <f>-5.4-C31</f>
        <v>-2.4000000000000004</v>
      </c>
      <c r="C31" s="20">
        <v>-3</v>
      </c>
      <c r="D31" s="20">
        <v>-2.7</v>
      </c>
      <c r="E31" s="20">
        <v>-1.6</v>
      </c>
      <c r="F31" s="20">
        <v>-1.1000000000000001</v>
      </c>
      <c r="G31" s="20">
        <v>-1.5</v>
      </c>
      <c r="H31" s="20">
        <v>-2.2999999999999998</v>
      </c>
      <c r="I31" s="20">
        <v>-1.2</v>
      </c>
      <c r="J31" s="20">
        <v>-1.4</v>
      </c>
      <c r="K31" s="20">
        <v>-1.4</v>
      </c>
      <c r="L31" s="20">
        <v>-1.6</v>
      </c>
      <c r="M31" s="20">
        <v>-1.2</v>
      </c>
      <c r="N31" s="20">
        <v>-1.1000000000000001</v>
      </c>
      <c r="O31" s="20">
        <v>-1</v>
      </c>
      <c r="P31" s="20">
        <v>-1.3</v>
      </c>
      <c r="Q31" s="20">
        <v>-1.3</v>
      </c>
      <c r="R31" s="20">
        <v>-0.7</v>
      </c>
      <c r="S31" s="20">
        <f>AQ31+AR31+AS31</f>
        <v>-1.6</v>
      </c>
      <c r="T31" s="20">
        <f>AT31+AU31+AV31</f>
        <v>13.899999999999999</v>
      </c>
      <c r="U31" s="20">
        <f>AW31+AX31+AY31</f>
        <v>-0.7</v>
      </c>
      <c r="V31" s="20">
        <f>AZ31+BA31+BB31</f>
        <v>-0.60000000000000009</v>
      </c>
      <c r="W31" s="20"/>
      <c r="AE31" s="33">
        <v>-0.4</v>
      </c>
      <c r="AF31" s="33">
        <v>-0.3</v>
      </c>
      <c r="AG31" s="33">
        <v>-0.3</v>
      </c>
      <c r="AH31" s="33">
        <v>-0.2</v>
      </c>
      <c r="AI31" s="33">
        <v>-0.3</v>
      </c>
      <c r="AJ31" s="33">
        <v>-0.5</v>
      </c>
      <c r="AK31" s="33">
        <v>-0.4</v>
      </c>
      <c r="AL31" s="33">
        <v>-0.4</v>
      </c>
      <c r="AM31" s="33">
        <v>-0.5</v>
      </c>
      <c r="AN31" s="33">
        <v>-0.3</v>
      </c>
      <c r="AO31" s="33">
        <v>-0.3</v>
      </c>
      <c r="AP31" s="33">
        <v>-0.2</v>
      </c>
      <c r="AQ31" s="33">
        <v>-1.1000000000000001</v>
      </c>
      <c r="AR31" s="33">
        <v>-0.4</v>
      </c>
      <c r="AS31" s="33">
        <v>-0.1</v>
      </c>
      <c r="AT31" s="33">
        <v>5.3</v>
      </c>
      <c r="AU31" s="33">
        <v>0</v>
      </c>
      <c r="AV31" s="33">
        <v>8.6</v>
      </c>
      <c r="AW31" s="33">
        <v>-0.1</v>
      </c>
      <c r="AX31" s="33">
        <v>-0.4</v>
      </c>
      <c r="AY31" s="33">
        <v>-0.2</v>
      </c>
      <c r="AZ31" s="33">
        <v>-0.2</v>
      </c>
      <c r="BA31" s="33">
        <v>-0.2</v>
      </c>
      <c r="BB31" s="33">
        <v>-0.2</v>
      </c>
    </row>
    <row r="32" spans="1:54" s="33" customFormat="1">
      <c r="A32" s="20" t="s">
        <v>65</v>
      </c>
      <c r="B32" s="20">
        <f>-17.7-12.2-26.8+16.2</f>
        <v>-40.5</v>
      </c>
      <c r="C32" s="20">
        <f>-31.5-18.7+5+35</f>
        <v>-10.200000000000003</v>
      </c>
      <c r="D32" s="20">
        <f>23.7-41.1+42.8-15.8</f>
        <v>9.5999999999999943</v>
      </c>
      <c r="E32" s="20">
        <f>-23.1+20.6-0.3+22</f>
        <v>19.2</v>
      </c>
      <c r="F32" s="20">
        <f>7.7+15.7-12.4+9.5</f>
        <v>20.5</v>
      </c>
      <c r="G32" s="20">
        <f>8.4+23.2-6.6-2.2</f>
        <v>22.8</v>
      </c>
      <c r="H32" s="20">
        <f>-18.5+12-18.9+22.7</f>
        <v>-2.6999999999999993</v>
      </c>
      <c r="I32" s="20">
        <f>1.2+12.1-4.4-3.6</f>
        <v>5.2999999999999989</v>
      </c>
      <c r="J32" s="20">
        <f>-7.9-6.6-13.5-9.6</f>
        <v>-37.6</v>
      </c>
      <c r="K32" s="20">
        <f>-35.5-10.2+31.7-16.8</f>
        <v>-30.800000000000004</v>
      </c>
      <c r="L32" s="20">
        <f>71.8-61.2-0.3+6</f>
        <v>16.299999999999994</v>
      </c>
      <c r="M32" s="20">
        <f>-31.7-30.4+9.6+4.3</f>
        <v>-48.199999999999996</v>
      </c>
      <c r="N32" s="20">
        <f>-47-7.8+17.8+19.1</f>
        <v>-17.899999999999999</v>
      </c>
      <c r="O32" s="20">
        <f>-16.1-13+24.1-5.4</f>
        <v>-10.4</v>
      </c>
      <c r="P32" s="20">
        <f>3.6-4.6-1.8+9.4</f>
        <v>6.6000000000000005</v>
      </c>
      <c r="Q32" s="20">
        <f>-0.8+4-8.4+2.9</f>
        <v>-2.3000000000000003</v>
      </c>
      <c r="R32" s="20">
        <f>-5.1-1.4+11.2-8.6</f>
        <v>-3.9000000000000004</v>
      </c>
      <c r="S32" s="20">
        <f>AQ32+AR32+AS32</f>
        <v>-41.9</v>
      </c>
      <c r="T32" s="20">
        <f>AT32+AU32+AV32</f>
        <v>-109.159685</v>
      </c>
      <c r="U32" s="36" t="str">
        <f>IFERROR(AW32+AX32+AY32,"NA")</f>
        <v>NA</v>
      </c>
      <c r="V32" s="20">
        <f>AZ32+BA32+BB32</f>
        <v>-20.880801000000002</v>
      </c>
      <c r="W32" s="20"/>
      <c r="AE32" s="33">
        <f>-16.3-13+5.7-6.7+24.1-15.2</f>
        <v>-21.4</v>
      </c>
      <c r="AF32" s="33">
        <f>-8.5-1.2+0.2-4.9+10.3-6.8</f>
        <v>-10.899999999999999</v>
      </c>
      <c r="AG32" s="33">
        <f>-3.4+2.5-0-4.3+1.4-2.9</f>
        <v>-6.6999999999999993</v>
      </c>
      <c r="AH32" s="33">
        <f>-17.9-8.7-0.6-8.9-5.5+16.7</f>
        <v>-24.900000000000002</v>
      </c>
      <c r="AI32" s="33">
        <f>-23.459296-3.294306-0.347241-0.997197-3.624303+1.052898</f>
        <v>-30.669445</v>
      </c>
      <c r="AJ32" s="33">
        <f>-18.1-7+0.2-0.9-2.7+0.2</f>
        <v>-28.3</v>
      </c>
      <c r="AK32" s="33">
        <f>-20.9-7.5-4-4.1+5.6</f>
        <v>-30.9</v>
      </c>
      <c r="AL32" s="33">
        <f>-28.7-4.9-0.1-3.7-3.7+6.1</f>
        <v>-35.000000000000007</v>
      </c>
      <c r="AM32" s="33">
        <f>-18.1-6.6-0.1-16.1+3.5-1.6</f>
        <v>-39.000000000000007</v>
      </c>
      <c r="AN32" s="33">
        <f>-20.047096-6.278651-0.043125-13.960053+3.511202+2.520377</f>
        <v>-34.297346000000005</v>
      </c>
      <c r="AO32" s="33">
        <f>-17.273-7.706-0.473-13.016+7.212+2.881</f>
        <v>-28.374999999999996</v>
      </c>
      <c r="AP32" s="33">
        <f>-14.284-1.986-0.205-12.012+1.731+5.061</f>
        <v>-21.694999999999997</v>
      </c>
      <c r="AQ32" s="33">
        <f>-15.1-3+0.2-9.2-5+12.1</f>
        <v>-20</v>
      </c>
      <c r="AR32" s="33">
        <f>-21.6+0.5+0.1-6.6+8.1+6.4</f>
        <v>-13.1</v>
      </c>
      <c r="AS32" s="33">
        <f>-10.5+1.7-8-0.4+8.4</f>
        <v>-8.7999999999999989</v>
      </c>
      <c r="AT32" s="33">
        <f>10.8-4.9+1.6-36.7+2.1+6.7</f>
        <v>-20.400000000000002</v>
      </c>
      <c r="AU32" s="33">
        <f>-12.238978+12.8725-0.102069-33.890702+9.887646+9.311918</f>
        <v>-14.159684999999998</v>
      </c>
      <c r="AV32" s="33">
        <f>-10+23.1-31.4-1.4-54.9</f>
        <v>-74.599999999999994</v>
      </c>
      <c r="AW32" s="33">
        <f>-28.3+25.5-0.2-28.3-1.3-44.6</f>
        <v>-77.2</v>
      </c>
      <c r="AX32" s="33">
        <f>-17.7+19.9-0.3-20.8-0.4-53.4</f>
        <v>-72.7</v>
      </c>
      <c r="AY32" s="54" t="s">
        <v>112</v>
      </c>
      <c r="AZ32" s="33">
        <f>-4.776433+14.722419-0.36208-6.876416-1.405707-19.825584</f>
        <v>-18.523800999999999</v>
      </c>
      <c r="BA32" s="33">
        <f>-14.34+12.294-0.379-0.878+6.51-10.841</f>
        <v>-7.6339999999999986</v>
      </c>
      <c r="BB32" s="33">
        <f>-2.327+11.046-0.476-1.268+6.372-8.07</f>
        <v>5.2769999999999975</v>
      </c>
    </row>
    <row r="33" spans="1:54"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c r="W33" s="20"/>
      <c r="AY33" s="52"/>
    </row>
    <row r="34" spans="1:54"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c r="AY34" s="52"/>
    </row>
    <row r="35" spans="1:54" s="27" customFormat="1">
      <c r="A35" s="27" t="s">
        <v>67</v>
      </c>
      <c r="B35" s="27">
        <v>-11.9</v>
      </c>
      <c r="C35" s="27">
        <v>-4.4000000000000004</v>
      </c>
      <c r="D35" s="27">
        <v>32.5</v>
      </c>
      <c r="E35" s="27">
        <v>42.5</v>
      </c>
      <c r="F35" s="27">
        <v>3.4</v>
      </c>
      <c r="G35" s="27">
        <v>28.1</v>
      </c>
      <c r="H35" s="27">
        <v>-5.4</v>
      </c>
      <c r="I35" s="27">
        <v>11.7</v>
      </c>
      <c r="J35" s="27">
        <v>-37.9</v>
      </c>
      <c r="K35" s="27">
        <v>-25.9</v>
      </c>
      <c r="L35" s="27">
        <v>-59.1</v>
      </c>
      <c r="M35" s="27">
        <v>-46.9</v>
      </c>
      <c r="N35" s="27">
        <v>-4</v>
      </c>
      <c r="O35" s="27">
        <v>5.2</v>
      </c>
      <c r="P35" s="27">
        <v>12.2</v>
      </c>
      <c r="Q35" s="27">
        <v>10</v>
      </c>
      <c r="R35" s="27">
        <f>12.2</f>
        <v>12.2</v>
      </c>
      <c r="S35" s="27">
        <f>AQ35+AR35+AS35</f>
        <v>-17.600000000000001</v>
      </c>
      <c r="T35" s="27">
        <f>AT35+AU35+AV35</f>
        <v>24.969901999999998</v>
      </c>
      <c r="U35" s="54" t="str">
        <f>IFERROR(AW35+AX35+AY35,"NA")</f>
        <v>NA</v>
      </c>
      <c r="V35" s="27">
        <f>AZ35+BA35+BB35</f>
        <v>21.972915</v>
      </c>
      <c r="Y35" s="33"/>
      <c r="AE35" s="27">
        <v>-4.9000000000000004</v>
      </c>
      <c r="AF35" s="27">
        <v>2.1</v>
      </c>
      <c r="AG35" s="27">
        <v>-1.2</v>
      </c>
      <c r="AH35" s="27">
        <v>34.6</v>
      </c>
      <c r="AI35" s="27">
        <v>30.788643</v>
      </c>
      <c r="AJ35" s="27">
        <v>30.1</v>
      </c>
      <c r="AK35" s="27">
        <v>24</v>
      </c>
      <c r="AL35" s="27">
        <v>10.1</v>
      </c>
      <c r="AM35" s="27">
        <v>-1.1000000000000001</v>
      </c>
      <c r="AN35" s="27">
        <v>-0.715333</v>
      </c>
      <c r="AO35" s="27">
        <v>-3.02</v>
      </c>
      <c r="AP35" s="27">
        <v>-2.7879999999999998</v>
      </c>
      <c r="AQ35" s="27">
        <v>-14</v>
      </c>
      <c r="AR35" s="27">
        <v>-2.1</v>
      </c>
      <c r="AS35" s="27">
        <v>-1.5</v>
      </c>
      <c r="AT35" s="27">
        <v>23.2</v>
      </c>
      <c r="AU35" s="27">
        <v>32.669902</v>
      </c>
      <c r="AV35" s="27">
        <v>-30.9</v>
      </c>
      <c r="AW35" s="27">
        <v>-36.6</v>
      </c>
      <c r="AX35" s="27">
        <v>-37.6</v>
      </c>
      <c r="AY35" s="54" t="s">
        <v>112</v>
      </c>
      <c r="AZ35" s="27">
        <v>3.9919150000000001</v>
      </c>
      <c r="BA35" s="27">
        <v>7.0750000000000002</v>
      </c>
      <c r="BB35" s="27">
        <v>10.906000000000001</v>
      </c>
    </row>
    <row r="36" spans="1:54" s="33" customFormat="1">
      <c r="A36" s="20" t="s">
        <v>68</v>
      </c>
      <c r="B36" s="29">
        <v>-2</v>
      </c>
      <c r="C36" s="29">
        <v>-1.7</v>
      </c>
      <c r="D36" s="29">
        <v>-0.7</v>
      </c>
      <c r="E36" s="29">
        <v>-1.2</v>
      </c>
      <c r="F36" s="29">
        <v>-0.6</v>
      </c>
      <c r="G36" s="29">
        <v>-1.1000000000000001</v>
      </c>
      <c r="H36" s="29">
        <v>-0.7</v>
      </c>
      <c r="I36" s="29">
        <v>-3</v>
      </c>
      <c r="J36" s="29">
        <v>-2.2000000000000002</v>
      </c>
      <c r="K36" s="29">
        <v>-3.1</v>
      </c>
      <c r="L36" s="29">
        <v>-3.1</v>
      </c>
      <c r="M36" s="29">
        <v>-5.3</v>
      </c>
      <c r="N36" s="29">
        <v>-5.6</v>
      </c>
      <c r="O36" s="29">
        <v>-5.7</v>
      </c>
      <c r="P36" s="29">
        <v>-3</v>
      </c>
      <c r="Q36" s="29">
        <v>-2.2999999999999998</v>
      </c>
      <c r="R36" s="29">
        <v>-2.1</v>
      </c>
      <c r="S36" s="29">
        <f>AQ36+AR36+AS36</f>
        <v>0.3000000000000001</v>
      </c>
      <c r="T36" s="29">
        <f>AT36+AU36+AV36</f>
        <v>-14.944429999999999</v>
      </c>
      <c r="U36" s="78" t="str">
        <f>IFERROR(AW36+AX36+AY36,"NA")</f>
        <v>NA</v>
      </c>
      <c r="V36" s="29">
        <f>AZ36+BA36+BB36</f>
        <v>-5.0110830000000002</v>
      </c>
      <c r="W36" s="29"/>
      <c r="AE36" s="33">
        <v>-5.7</v>
      </c>
      <c r="AF36" s="33">
        <v>-3.9</v>
      </c>
      <c r="AG36" s="33">
        <v>-1.3</v>
      </c>
      <c r="AH36" s="33">
        <v>-8.4</v>
      </c>
      <c r="AI36" s="33">
        <v>-6.6216710000000001</v>
      </c>
      <c r="AJ36" s="33">
        <v>-6</v>
      </c>
      <c r="AK36" s="33">
        <v>-5.4</v>
      </c>
      <c r="AL36" s="33">
        <v>-4.3</v>
      </c>
      <c r="AM36" s="33">
        <v>-3.8</v>
      </c>
      <c r="AN36" s="33">
        <v>-3.0954419999999998</v>
      </c>
      <c r="AO36" s="33">
        <v>-2.6859999999999999</v>
      </c>
      <c r="AP36" s="33">
        <v>-1.554</v>
      </c>
      <c r="AQ36" s="33">
        <v>1.1000000000000001</v>
      </c>
      <c r="AR36" s="33">
        <v>-0.6</v>
      </c>
      <c r="AS36" s="33">
        <v>-0.2</v>
      </c>
      <c r="AT36" s="33">
        <v>-5.5</v>
      </c>
      <c r="AU36" s="33">
        <v>-4.84443</v>
      </c>
      <c r="AV36" s="33">
        <v>-4.5999999999999996</v>
      </c>
      <c r="AW36" s="33">
        <v>-3.9</v>
      </c>
      <c r="AX36" s="33">
        <v>-3.7</v>
      </c>
      <c r="AY36" s="54" t="s">
        <v>112</v>
      </c>
      <c r="AZ36" s="33">
        <v>-1.9770829999999999</v>
      </c>
      <c r="BA36" s="33">
        <v>-1.7989999999999999</v>
      </c>
      <c r="BB36" s="33">
        <v>-1.2350000000000001</v>
      </c>
    </row>
    <row r="37" spans="1:54" s="27" customFormat="1">
      <c r="A37" s="27" t="s">
        <v>69</v>
      </c>
      <c r="B37" s="27">
        <f t="shared" ref="B37:O37" si="26">+B35+B36</f>
        <v>-13.9</v>
      </c>
      <c r="C37" s="27">
        <f t="shared" si="26"/>
        <v>-6.1000000000000005</v>
      </c>
      <c r="D37" s="27">
        <f t="shared" si="26"/>
        <v>31.8</v>
      </c>
      <c r="E37" s="27">
        <f t="shared" si="26"/>
        <v>41.3</v>
      </c>
      <c r="F37" s="27">
        <f t="shared" si="26"/>
        <v>2.8</v>
      </c>
      <c r="G37" s="27">
        <f t="shared" si="26"/>
        <v>27</v>
      </c>
      <c r="H37" s="27">
        <f t="shared" si="26"/>
        <v>-6.1000000000000005</v>
      </c>
      <c r="I37" s="27">
        <f t="shared" si="26"/>
        <v>8.6999999999999993</v>
      </c>
      <c r="J37" s="27">
        <f t="shared" si="26"/>
        <v>-40.1</v>
      </c>
      <c r="K37" s="27">
        <f t="shared" si="26"/>
        <v>-29</v>
      </c>
      <c r="L37" s="27">
        <f t="shared" si="26"/>
        <v>-62.2</v>
      </c>
      <c r="M37" s="27">
        <f t="shared" si="26"/>
        <v>-52.199999999999996</v>
      </c>
      <c r="N37" s="27">
        <f t="shared" si="26"/>
        <v>-9.6</v>
      </c>
      <c r="O37" s="27">
        <f t="shared" si="26"/>
        <v>-0.5</v>
      </c>
      <c r="P37" s="27">
        <f t="shared" ref="P37:V37" si="27">+P35+P36</f>
        <v>9.1999999999999993</v>
      </c>
      <c r="Q37" s="27">
        <f t="shared" si="27"/>
        <v>7.7</v>
      </c>
      <c r="R37" s="27">
        <f t="shared" si="27"/>
        <v>10.1</v>
      </c>
      <c r="S37" s="27">
        <f t="shared" si="27"/>
        <v>-17.3</v>
      </c>
      <c r="T37" s="27">
        <f t="shared" si="27"/>
        <v>10.025471999999999</v>
      </c>
      <c r="U37" s="54" t="str">
        <f>IFERROR(+U35+U36,"NA")</f>
        <v>NA</v>
      </c>
      <c r="V37" s="27">
        <f t="shared" si="27"/>
        <v>16.961832000000001</v>
      </c>
    </row>
    <row r="38" spans="1:54">
      <c r="B38" s="33"/>
      <c r="C38" s="33"/>
      <c r="D38" s="33"/>
      <c r="E38" s="33"/>
      <c r="F38" s="33"/>
      <c r="G38" s="33"/>
      <c r="H38" s="33"/>
      <c r="I38" s="33"/>
      <c r="J38" s="33"/>
      <c r="K38" s="33"/>
      <c r="L38" s="33"/>
      <c r="M38" s="33"/>
    </row>
    <row r="39" spans="1:54" s="35" customFormat="1">
      <c r="A39" s="34" t="s">
        <v>70</v>
      </c>
      <c r="B39" s="20">
        <v>6.6</v>
      </c>
      <c r="C39" s="20">
        <v>6.6</v>
      </c>
      <c r="D39" s="20">
        <v>5.2</v>
      </c>
      <c r="E39" s="20">
        <v>4.5</v>
      </c>
      <c r="F39" s="20">
        <v>80.5</v>
      </c>
      <c r="G39" s="20">
        <v>75.3</v>
      </c>
      <c r="H39" s="20">
        <v>75.599999999999994</v>
      </c>
      <c r="I39" s="20">
        <v>75.599999999999994</v>
      </c>
      <c r="J39" s="20">
        <v>74.400000000000006</v>
      </c>
      <c r="K39" s="20">
        <v>29.5</v>
      </c>
      <c r="L39" s="20">
        <v>45</v>
      </c>
      <c r="M39" s="20">
        <v>10</v>
      </c>
      <c r="N39" s="20">
        <f>O39</f>
        <v>0</v>
      </c>
      <c r="O39" s="20">
        <v>0</v>
      </c>
      <c r="P39" s="20"/>
      <c r="Q39" s="20"/>
      <c r="R39" s="20"/>
      <c r="S39" s="20"/>
      <c r="T39" s="20"/>
      <c r="U39" s="20"/>
      <c r="V39" s="20"/>
      <c r="W39" s="20"/>
      <c r="X39" s="33"/>
      <c r="Y39" s="33"/>
    </row>
    <row r="40" spans="1:54" s="35" customFormat="1">
      <c r="A40" s="34" t="s">
        <v>71</v>
      </c>
      <c r="B40" s="20">
        <f>676.1+240+1</f>
        <v>917.1</v>
      </c>
      <c r="C40" s="20">
        <f>677.8+1.2+240</f>
        <v>919</v>
      </c>
      <c r="D40" s="20">
        <f>679.5+240+1.4</f>
        <v>920.9</v>
      </c>
      <c r="E40" s="20">
        <f>1.6+681.3+240</f>
        <v>922.9</v>
      </c>
      <c r="F40" s="20">
        <f>838+1.5</f>
        <v>839.5</v>
      </c>
      <c r="G40" s="20">
        <f>684.8+1.7</f>
        <v>686.5</v>
      </c>
      <c r="H40" s="20">
        <f>686.5+1.8</f>
        <v>688.3</v>
      </c>
      <c r="I40" s="20">
        <f>688.2+1.9</f>
        <v>690.1</v>
      </c>
      <c r="J40" s="20">
        <f>J41-J39-180</f>
        <v>690</v>
      </c>
      <c r="K40" s="20">
        <v>691.7</v>
      </c>
      <c r="L40" s="20">
        <v>618.5</v>
      </c>
      <c r="M40" s="20">
        <v>620</v>
      </c>
      <c r="N40" s="20">
        <f>O40</f>
        <v>620</v>
      </c>
      <c r="O40" s="20">
        <v>620</v>
      </c>
      <c r="P40" s="20"/>
      <c r="Q40" s="20"/>
      <c r="R40" s="20"/>
      <c r="S40" s="20"/>
      <c r="T40" s="20"/>
      <c r="U40" s="20"/>
      <c r="V40" s="20"/>
      <c r="W40" s="20"/>
      <c r="Y40" s="33"/>
    </row>
    <row r="41" spans="1:54" s="35" customFormat="1">
      <c r="A41" s="34" t="s">
        <v>72</v>
      </c>
      <c r="B41" s="20">
        <f t="shared" ref="B41:I41" si="28">B39+B40+180</f>
        <v>1103.7</v>
      </c>
      <c r="C41" s="20">
        <f t="shared" si="28"/>
        <v>1105.5999999999999</v>
      </c>
      <c r="D41" s="20">
        <f t="shared" si="28"/>
        <v>1106.0999999999999</v>
      </c>
      <c r="E41" s="20">
        <f t="shared" si="28"/>
        <v>1107.4000000000001</v>
      </c>
      <c r="F41" s="20">
        <f t="shared" si="28"/>
        <v>1100</v>
      </c>
      <c r="G41" s="20">
        <f t="shared" si="28"/>
        <v>941.8</v>
      </c>
      <c r="H41" s="20">
        <f t="shared" si="28"/>
        <v>943.9</v>
      </c>
      <c r="I41" s="20">
        <f t="shared" si="28"/>
        <v>945.7</v>
      </c>
      <c r="J41" s="20">
        <v>944.4</v>
      </c>
      <c r="K41" s="20">
        <f>K39+K40+180</f>
        <v>901.2</v>
      </c>
      <c r="L41" s="20">
        <f>L39+L40+180</f>
        <v>843.5</v>
      </c>
      <c r="M41" s="20">
        <f>M39+M40+180</f>
        <v>810</v>
      </c>
      <c r="N41" s="20">
        <f>O41</f>
        <v>800</v>
      </c>
      <c r="O41" s="20">
        <f>O39+O40+180</f>
        <v>800</v>
      </c>
      <c r="P41" s="20"/>
      <c r="Q41" s="20"/>
      <c r="R41" s="20"/>
      <c r="S41" s="20"/>
      <c r="T41" s="20"/>
      <c r="U41" s="20"/>
      <c r="V41" s="20"/>
      <c r="W41" s="20"/>
      <c r="Y41" s="33"/>
    </row>
    <row r="42" spans="1:54" s="35" customFormat="1">
      <c r="A42" s="34" t="s">
        <v>73</v>
      </c>
      <c r="B42" s="36">
        <v>502</v>
      </c>
      <c r="C42" s="36">
        <v>502</v>
      </c>
      <c r="D42" s="36">
        <v>502</v>
      </c>
      <c r="E42" s="36">
        <v>502</v>
      </c>
      <c r="F42" s="36">
        <v>502</v>
      </c>
      <c r="G42" s="36">
        <f t="shared" ref="G42:M42" si="29">H42</f>
        <v>309</v>
      </c>
      <c r="H42" s="36">
        <f t="shared" si="29"/>
        <v>309</v>
      </c>
      <c r="I42" s="36">
        <f t="shared" si="29"/>
        <v>309</v>
      </c>
      <c r="J42" s="36">
        <f t="shared" si="29"/>
        <v>309</v>
      </c>
      <c r="K42" s="36">
        <f t="shared" si="29"/>
        <v>309</v>
      </c>
      <c r="L42" s="36">
        <f t="shared" si="29"/>
        <v>309</v>
      </c>
      <c r="M42" s="36">
        <f t="shared" si="29"/>
        <v>309</v>
      </c>
      <c r="N42" s="36">
        <f>O42</f>
        <v>309</v>
      </c>
      <c r="O42" s="36">
        <f>297+12</f>
        <v>309</v>
      </c>
      <c r="P42" s="36"/>
      <c r="Q42" s="36"/>
      <c r="R42" s="36"/>
      <c r="S42" s="36"/>
      <c r="T42" s="36"/>
      <c r="U42" s="36"/>
      <c r="V42" s="36"/>
      <c r="W42" s="36"/>
      <c r="Y42" s="33"/>
      <c r="Z42" s="33"/>
    </row>
    <row r="43" spans="1:54">
      <c r="B43" s="33"/>
      <c r="C43" s="33"/>
      <c r="D43" s="33"/>
      <c r="E43" s="33"/>
      <c r="F43" s="33"/>
      <c r="G43" s="35"/>
      <c r="H43" s="35"/>
      <c r="I43" s="35"/>
      <c r="J43" s="35"/>
      <c r="K43" s="35"/>
      <c r="L43" s="35"/>
      <c r="M43" s="35"/>
      <c r="N43" s="35"/>
      <c r="O43" s="35"/>
      <c r="P43" s="35"/>
      <c r="Q43" s="35"/>
      <c r="Y43" s="33"/>
      <c r="Z43" s="33"/>
    </row>
    <row r="44" spans="1:54">
      <c r="A44" s="19" t="s">
        <v>74</v>
      </c>
      <c r="B44" s="28">
        <v>76.2</v>
      </c>
      <c r="C44" s="28">
        <v>96</v>
      </c>
      <c r="D44" s="28">
        <v>111</v>
      </c>
      <c r="E44" s="28">
        <v>82.3</v>
      </c>
      <c r="F44" s="28">
        <v>44.1</v>
      </c>
      <c r="G44" s="28">
        <v>22.6</v>
      </c>
      <c r="H44" s="28">
        <v>7.9</v>
      </c>
      <c r="I44" s="28">
        <v>27.3</v>
      </c>
      <c r="J44" s="28">
        <v>21.7</v>
      </c>
      <c r="K44" s="28">
        <v>20.6</v>
      </c>
      <c r="L44" s="28">
        <v>11.8</v>
      </c>
      <c r="M44" s="28">
        <v>2.1</v>
      </c>
      <c r="N44" s="28">
        <f>O44</f>
        <v>20</v>
      </c>
      <c r="O44" s="28">
        <v>20</v>
      </c>
      <c r="P44" s="28">
        <v>14.8</v>
      </c>
      <c r="Q44" s="28">
        <v>18.100000000000001</v>
      </c>
      <c r="R44" s="28">
        <v>6.1</v>
      </c>
      <c r="S44" s="28"/>
      <c r="T44" s="57"/>
      <c r="U44" s="57"/>
      <c r="V44" s="57"/>
      <c r="W44" s="57"/>
      <c r="Y44" s="33"/>
      <c r="Z44" s="33"/>
    </row>
    <row r="46" spans="1:54">
      <c r="A46" s="14" t="s">
        <v>75</v>
      </c>
      <c r="B46" s="58">
        <f t="shared" ref="B46:L46" si="30">SUM(B12:E12)</f>
        <v>844.7</v>
      </c>
      <c r="C46" s="58">
        <f t="shared" si="30"/>
        <v>749.1</v>
      </c>
      <c r="D46" s="58">
        <f t="shared" si="30"/>
        <v>734.40000000000009</v>
      </c>
      <c r="E46" s="58">
        <f t="shared" si="30"/>
        <v>728.59999999999991</v>
      </c>
      <c r="F46" s="58">
        <f t="shared" si="30"/>
        <v>711.99999999999989</v>
      </c>
      <c r="G46" s="58">
        <f t="shared" si="30"/>
        <v>762.4</v>
      </c>
      <c r="H46" s="58">
        <f t="shared" si="30"/>
        <v>762.3</v>
      </c>
      <c r="I46" s="58">
        <f t="shared" si="30"/>
        <v>680.7</v>
      </c>
      <c r="J46" s="58">
        <f t="shared" si="30"/>
        <v>652.5</v>
      </c>
      <c r="K46" s="58">
        <f t="shared" si="30"/>
        <v>618.4</v>
      </c>
      <c r="L46" s="58">
        <f t="shared" si="30"/>
        <v>567.70000000000005</v>
      </c>
      <c r="M46" s="58">
        <f>N46+M12-Q12</f>
        <v>645.70000000000005</v>
      </c>
      <c r="N46" s="58">
        <f>O46+N12-R12</f>
        <v>603.5</v>
      </c>
      <c r="O46" s="51">
        <v>579</v>
      </c>
      <c r="P46" s="33">
        <f>SUM(P12:S12)</f>
        <v>519</v>
      </c>
      <c r="Q46" s="33">
        <f>SUM(Q12:T12)</f>
        <v>513.5</v>
      </c>
      <c r="R46" s="33">
        <f>SUM(R12:U12)</f>
        <v>513.20000000000005</v>
      </c>
      <c r="S46" s="33">
        <f>SUM(S12:V12)</f>
        <v>482.19999999999993</v>
      </c>
    </row>
    <row r="47" spans="1:54">
      <c r="A47" s="14" t="s">
        <v>76</v>
      </c>
      <c r="B47" s="33">
        <f t="shared" ref="B47" si="31">+B27</f>
        <v>215.3</v>
      </c>
      <c r="C47" s="33">
        <f t="shared" ref="C47:D47" si="32">+C27</f>
        <v>198.5</v>
      </c>
      <c r="D47" s="33">
        <f t="shared" si="32"/>
        <v>192.9</v>
      </c>
      <c r="E47" s="33">
        <f t="shared" ref="E47:F47" si="33">+E27</f>
        <v>174</v>
      </c>
      <c r="F47" s="33">
        <f t="shared" si="33"/>
        <v>172.4</v>
      </c>
      <c r="G47" s="33">
        <f t="shared" ref="G47:H47" si="34">+G27</f>
        <v>184.9</v>
      </c>
      <c r="H47" s="33">
        <f t="shared" si="34"/>
        <v>186</v>
      </c>
      <c r="I47" s="33">
        <f t="shared" ref="I47:N47" si="35">+I27</f>
        <v>174.8</v>
      </c>
      <c r="J47" s="33">
        <f t="shared" si="35"/>
        <v>174.7</v>
      </c>
      <c r="K47" s="33">
        <f t="shared" si="35"/>
        <v>174.4</v>
      </c>
      <c r="L47" s="33">
        <f t="shared" si="35"/>
        <v>139.1</v>
      </c>
      <c r="M47" s="33">
        <f t="shared" si="35"/>
        <v>145.69999999999999</v>
      </c>
      <c r="N47" s="33">
        <f t="shared" si="35"/>
        <v>139</v>
      </c>
      <c r="O47" s="51">
        <v>140</v>
      </c>
      <c r="P47" s="33">
        <f>+P27</f>
        <v>119.30000000000001</v>
      </c>
      <c r="Q47" s="33">
        <f>+Q27</f>
        <v>118.8</v>
      </c>
      <c r="R47" s="33">
        <f>+R27</f>
        <v>125.5</v>
      </c>
      <c r="S47" s="33">
        <f>+S27</f>
        <v>112.5</v>
      </c>
    </row>
    <row r="48" spans="1:54">
      <c r="A48" s="14" t="s">
        <v>77</v>
      </c>
      <c r="B48" s="58">
        <f t="shared" ref="B48:L48" si="36">SUM(B37:E37)</f>
        <v>53.099999999999994</v>
      </c>
      <c r="C48" s="58">
        <f t="shared" si="36"/>
        <v>69.8</v>
      </c>
      <c r="D48" s="58">
        <f t="shared" si="36"/>
        <v>102.89999999999999</v>
      </c>
      <c r="E48" s="58">
        <f t="shared" si="36"/>
        <v>65</v>
      </c>
      <c r="F48" s="58">
        <f t="shared" si="36"/>
        <v>32.4</v>
      </c>
      <c r="G48" s="58">
        <f t="shared" si="36"/>
        <v>-10.500000000000004</v>
      </c>
      <c r="H48" s="58">
        <f t="shared" si="36"/>
        <v>-66.5</v>
      </c>
      <c r="I48" s="58">
        <f t="shared" si="36"/>
        <v>-122.60000000000001</v>
      </c>
      <c r="J48" s="58">
        <f t="shared" si="36"/>
        <v>-183.5</v>
      </c>
      <c r="K48" s="58">
        <f t="shared" si="36"/>
        <v>-153</v>
      </c>
      <c r="L48" s="58">
        <f t="shared" si="36"/>
        <v>-124.5</v>
      </c>
      <c r="M48" s="58">
        <f>N48+M37-Q37</f>
        <v>-33.150000000000013</v>
      </c>
      <c r="N48" s="58">
        <f>O48+N37-R37</f>
        <v>26.749999999999986</v>
      </c>
      <c r="O48" s="51">
        <v>46.449999999999989</v>
      </c>
      <c r="P48" s="33">
        <f>+SUM(P37:S37)</f>
        <v>9.6999999999999993</v>
      </c>
      <c r="Q48" s="33">
        <f>+SUM(Q37:T37)</f>
        <v>10.525471999999999</v>
      </c>
      <c r="R48" s="33"/>
      <c r="S48" s="33"/>
    </row>
    <row r="50" spans="1:23" s="37" customFormat="1">
      <c r="A50" s="37" t="s">
        <v>78</v>
      </c>
      <c r="B50" s="37">
        <f t="shared" ref="B50:C50" si="37">+SUM(B39:B40)/B47</f>
        <v>4.2902926149558755</v>
      </c>
      <c r="C50" s="37">
        <f t="shared" si="37"/>
        <v>4.6629722921914363</v>
      </c>
      <c r="D50" s="37">
        <f t="shared" ref="D50:E50" si="38">+SUM(D39:D40)/D47</f>
        <v>4.8009331259720058</v>
      </c>
      <c r="E50" s="37">
        <f t="shared" si="38"/>
        <v>5.3298850574712642</v>
      </c>
      <c r="F50" s="37">
        <f t="shared" ref="F50:G50" si="39">+SUM(F39:F40)/F47</f>
        <v>5.3364269141531322</v>
      </c>
      <c r="G50" s="37">
        <f t="shared" si="39"/>
        <v>4.1200648999459162</v>
      </c>
      <c r="H50" s="37">
        <f t="shared" ref="H50:I50" si="40">+SUM(H39:H40)/H47</f>
        <v>4.1069892473118275</v>
      </c>
      <c r="I50" s="37">
        <f t="shared" si="40"/>
        <v>4.3804347826086953</v>
      </c>
      <c r="J50" s="37">
        <f t="shared" ref="J50:O50" si="41">+SUM(J39:J40)/J47</f>
        <v>4.3755008586147683</v>
      </c>
      <c r="K50" s="37">
        <f t="shared" si="41"/>
        <v>4.1353211009174311</v>
      </c>
      <c r="L50" s="37">
        <f t="shared" si="41"/>
        <v>4.7699496764917324</v>
      </c>
      <c r="M50" s="37">
        <f t="shared" si="41"/>
        <v>4.3239533287577219</v>
      </c>
      <c r="N50" s="37">
        <f t="shared" si="41"/>
        <v>4.4604316546762588</v>
      </c>
      <c r="O50" s="37">
        <f t="shared" si="41"/>
        <v>4.4285714285714288</v>
      </c>
    </row>
    <row r="51" spans="1:23" s="37" customFormat="1">
      <c r="A51" s="37" t="s">
        <v>79</v>
      </c>
      <c r="B51" s="37">
        <f t="shared" ref="B51:C51" si="42">+B41/B47</f>
        <v>5.1263353460287968</v>
      </c>
      <c r="C51" s="37">
        <f t="shared" si="42"/>
        <v>5.5697732997481104</v>
      </c>
      <c r="D51" s="37">
        <f t="shared" ref="D51:E51" si="43">+D41/D47</f>
        <v>5.7340590979782267</v>
      </c>
      <c r="E51" s="37">
        <f t="shared" si="43"/>
        <v>6.3643678160919546</v>
      </c>
      <c r="F51" s="37">
        <f t="shared" ref="F51:G51" si="44">+F41/F47</f>
        <v>6.3805104408352662</v>
      </c>
      <c r="G51" s="37">
        <f t="shared" si="44"/>
        <v>5.0935640886965921</v>
      </c>
      <c r="H51" s="37">
        <f t="shared" ref="H51:I51" si="45">+H41/H47</f>
        <v>5.0747311827956985</v>
      </c>
      <c r="I51" s="37">
        <f t="shared" si="45"/>
        <v>5.4101830663615562</v>
      </c>
      <c r="J51" s="37">
        <f t="shared" ref="J51:O51" si="46">+J41/J47</f>
        <v>5.4058385804235831</v>
      </c>
      <c r="K51" s="37">
        <f t="shared" si="46"/>
        <v>5.1674311926605503</v>
      </c>
      <c r="L51" s="37">
        <f t="shared" si="46"/>
        <v>6.0639827462257374</v>
      </c>
      <c r="M51" s="37">
        <f t="shared" si="46"/>
        <v>5.5593685655456424</v>
      </c>
      <c r="N51" s="37">
        <f t="shared" si="46"/>
        <v>5.7553956834532372</v>
      </c>
      <c r="O51" s="37">
        <f t="shared" si="46"/>
        <v>5.7142857142857144</v>
      </c>
    </row>
    <row r="52" spans="1:23" s="37" customFormat="1">
      <c r="A52" s="37" t="s">
        <v>80</v>
      </c>
      <c r="B52" s="37">
        <f t="shared" ref="B52:C52" si="47">+(B41-B44)/B47</f>
        <v>4.7724105898745934</v>
      </c>
      <c r="C52" s="37">
        <f t="shared" si="47"/>
        <v>5.0861460957178837</v>
      </c>
      <c r="D52" s="37">
        <f t="shared" ref="D52:E52" si="48">+(D41-D44)/D47</f>
        <v>5.1586314152410573</v>
      </c>
      <c r="E52" s="37">
        <f t="shared" si="48"/>
        <v>5.8913793103448286</v>
      </c>
      <c r="F52" s="37">
        <f t="shared" ref="F52:G52" si="49">+(F41-F44)/F47</f>
        <v>6.1247099767981439</v>
      </c>
      <c r="G52" s="37">
        <f t="shared" si="49"/>
        <v>4.9713358572201187</v>
      </c>
      <c r="H52" s="37">
        <f t="shared" ref="H52:I52" si="50">+(H41-H44)/H47</f>
        <v>5.032258064516129</v>
      </c>
      <c r="I52" s="37">
        <f t="shared" si="50"/>
        <v>5.2540045766590389</v>
      </c>
      <c r="J52" s="37">
        <f t="shared" ref="J52:O52" si="51">+(J41-J44)/J47</f>
        <v>5.2816256439610765</v>
      </c>
      <c r="K52" s="37">
        <f t="shared" si="51"/>
        <v>5.0493119266055047</v>
      </c>
      <c r="L52" s="37">
        <f t="shared" si="51"/>
        <v>5.9791516894320642</v>
      </c>
      <c r="M52" s="37">
        <f t="shared" si="51"/>
        <v>5.5449553877831166</v>
      </c>
      <c r="N52" s="37">
        <f t="shared" si="51"/>
        <v>5.6115107913669062</v>
      </c>
      <c r="O52" s="37">
        <f t="shared" si="51"/>
        <v>5.5714285714285712</v>
      </c>
    </row>
    <row r="53" spans="1:23" s="38" customFormat="1">
      <c r="A53" s="38" t="s">
        <v>81</v>
      </c>
      <c r="B53" s="38">
        <f t="shared" ref="B53:C53" si="52">+B48/B41</f>
        <v>4.8110899701005704E-2</v>
      </c>
      <c r="C53" s="38">
        <f t="shared" si="52"/>
        <v>6.3133140376266286E-2</v>
      </c>
      <c r="D53" s="38">
        <f t="shared" ref="D53:E53" si="53">+D48/D41</f>
        <v>9.3029563330621096E-2</v>
      </c>
      <c r="E53" s="38">
        <f t="shared" si="53"/>
        <v>5.8696044789597251E-2</v>
      </c>
      <c r="F53" s="38">
        <f t="shared" ref="F53:G53" si="54">+F48/F41</f>
        <v>2.9454545454545452E-2</v>
      </c>
      <c r="G53" s="38">
        <f t="shared" si="54"/>
        <v>-1.1148863877681041E-2</v>
      </c>
      <c r="H53" s="38">
        <f t="shared" ref="H53:I53" si="55">+H48/H41</f>
        <v>-7.045237842991843E-2</v>
      </c>
      <c r="I53" s="38">
        <f t="shared" si="55"/>
        <v>-0.1296394205350534</v>
      </c>
      <c r="J53" s="38">
        <f t="shared" ref="J53:O53" si="56">+J48/J41</f>
        <v>-0.19430326132994494</v>
      </c>
      <c r="K53" s="38">
        <f t="shared" si="56"/>
        <v>-0.16977363515312915</v>
      </c>
      <c r="L53" s="38">
        <f t="shared" si="56"/>
        <v>-0.14759928867812686</v>
      </c>
      <c r="M53" s="38">
        <f t="shared" si="56"/>
        <v>-4.0925925925925942E-2</v>
      </c>
      <c r="N53" s="38">
        <f t="shared" si="56"/>
        <v>3.3437499999999981E-2</v>
      </c>
      <c r="O53" s="38">
        <f t="shared" si="56"/>
        <v>5.8062499999999989E-2</v>
      </c>
    </row>
    <row r="54" spans="1:23" s="38" customFormat="1">
      <c r="A54" s="39" t="s">
        <v>82</v>
      </c>
      <c r="B54" s="40"/>
      <c r="C54" s="40"/>
      <c r="D54" s="40"/>
      <c r="E54" s="40"/>
      <c r="F54" s="40"/>
      <c r="G54" s="40"/>
      <c r="H54" s="40"/>
      <c r="I54" s="40"/>
      <c r="J54" s="40"/>
      <c r="K54" s="40"/>
      <c r="L54" s="40"/>
      <c r="M54" s="40"/>
      <c r="N54" s="40"/>
      <c r="O54" s="40"/>
      <c r="P54" s="40"/>
      <c r="Q54" s="40"/>
      <c r="R54" s="40"/>
      <c r="S54" s="40"/>
      <c r="T54" s="39"/>
      <c r="U54" s="39"/>
      <c r="V54" s="39"/>
      <c r="W54" s="39"/>
    </row>
    <row r="55" spans="1:23" s="38" customFormat="1">
      <c r="A55" s="38" t="s">
        <v>83</v>
      </c>
      <c r="B55" s="41">
        <f t="shared" ref="B55:C55" si="57">IF(B42=0,IF(B54="","","*"&amp;TEXT(B54,"0.0x")),(B41+B42-B44)/B47)</f>
        <v>7.1040408732001854</v>
      </c>
      <c r="C55" s="41">
        <f t="shared" si="57"/>
        <v>7.6151133501259443</v>
      </c>
      <c r="D55" s="41">
        <f t="shared" ref="D55:E55" si="58">IF(D42=0,IF(D54="","","*"&amp;TEXT(D54,"0.0x")),(D41+D42-D44)/D47)</f>
        <v>7.7610160705028504</v>
      </c>
      <c r="E55" s="41">
        <f t="shared" si="58"/>
        <v>8.7764367816091955</v>
      </c>
      <c r="F55" s="41">
        <f t="shared" ref="F55:G55" si="59">IF(F42=0,IF(F54="","","*"&amp;TEXT(F54,"0.0x")),(F41+F42-F44)/F47)</f>
        <v>9.0365429234338741</v>
      </c>
      <c r="G55" s="41">
        <f t="shared" si="59"/>
        <v>6.6425094645754461</v>
      </c>
      <c r="H55" s="41">
        <f t="shared" ref="H55:I55" si="60">IF(H42=0,IF(H54="","","*"&amp;TEXT(H54,"0.0x")),(H41+H42-H44)/H47)</f>
        <v>6.693548387096774</v>
      </c>
      <c r="I55" s="41">
        <f t="shared" si="60"/>
        <v>7.0217391304347823</v>
      </c>
      <c r="J55" s="41">
        <f t="shared" ref="J55:K55" si="61">IF(J42=0,IF(J54="","","*"&amp;TEXT(J54,"0.0x")),(J41+J42-J44)/J47)</f>
        <v>7.0503720663995431</v>
      </c>
      <c r="K55" s="41">
        <f t="shared" si="61"/>
        <v>6.8211009174311936</v>
      </c>
      <c r="L55" s="41">
        <f t="shared" ref="L55" si="62">IF(L42=0,IF(L54="","","*"&amp;TEXT(L54,"0.0x")),(L41+L42-L44)/L47)</f>
        <v>8.200575125808772</v>
      </c>
      <c r="M55" s="41">
        <f t="shared" ref="M55:S55" si="63">IF(M42=0,IF(M54="","","*"&amp;TEXT(M54,"0.0x")),(M41+M42-M44)/M47)</f>
        <v>7.6657515442690469</v>
      </c>
      <c r="N55" s="41">
        <f t="shared" si="63"/>
        <v>7.8345323741007196</v>
      </c>
      <c r="O55" s="41">
        <f t="shared" si="63"/>
        <v>7.7785714285714285</v>
      </c>
      <c r="P55" s="41" t="str">
        <f t="shared" si="63"/>
        <v/>
      </c>
      <c r="Q55" s="41" t="str">
        <f t="shared" si="63"/>
        <v/>
      </c>
      <c r="R55" s="41" t="str">
        <f t="shared" si="63"/>
        <v/>
      </c>
      <c r="S55" s="41" t="str">
        <f t="shared" si="63"/>
        <v/>
      </c>
      <c r="T55" s="41" t="str">
        <f>IF(T42=0,IF(T54="","",CONCATENATE("* ",T54,"x")),(T41+T42-T44)/T47)</f>
        <v/>
      </c>
      <c r="U55" s="41" t="str">
        <f>IF(U42=0,IF(U54="","",CONCATENATE("* ",U54,"x")),(U41+U42-U44)/U47)</f>
        <v/>
      </c>
      <c r="V55" s="41" t="str">
        <f>IF(V42=0,IF(V54="","",CONCATENATE("* ",V54,"x")),(V41+V42-V44)/V47)</f>
        <v/>
      </c>
      <c r="W55" s="41" t="str">
        <f>IF(W42=0,IF(W54="","",CONCATENATE("* ",W54,"x")),(W41+W42-W44)/W47)</f>
        <v/>
      </c>
    </row>
    <row r="56" spans="1:23">
      <c r="S56" s="42"/>
    </row>
    <row r="57" spans="1:23" ht="80.25" customHeight="1">
      <c r="A57" s="43" t="s">
        <v>84</v>
      </c>
      <c r="B57" s="44" t="s">
        <v>289</v>
      </c>
      <c r="C57" s="44" t="s">
        <v>289</v>
      </c>
      <c r="D57" s="44" t="s">
        <v>289</v>
      </c>
      <c r="E57" s="44" t="s">
        <v>289</v>
      </c>
      <c r="F57" s="44" t="s">
        <v>289</v>
      </c>
      <c r="G57" s="44" t="s">
        <v>289</v>
      </c>
      <c r="H57" s="44" t="s">
        <v>289</v>
      </c>
      <c r="I57" s="44" t="s">
        <v>289</v>
      </c>
      <c r="J57" s="44" t="s">
        <v>289</v>
      </c>
      <c r="K57" s="44" t="s">
        <v>289</v>
      </c>
      <c r="L57" s="44" t="s">
        <v>289</v>
      </c>
      <c r="M57" s="44"/>
      <c r="N57" s="44"/>
      <c r="O57" s="44" t="s">
        <v>297</v>
      </c>
      <c r="P57" s="44"/>
      <c r="Q57" s="44"/>
      <c r="R57" s="44"/>
      <c r="S57" s="44"/>
      <c r="T57" s="44"/>
      <c r="U57" s="44"/>
      <c r="V57" s="44"/>
      <c r="W57" s="44"/>
    </row>
    <row r="58" spans="1:23">
      <c r="A58" s="45"/>
      <c r="B58" s="42"/>
      <c r="C58" s="42"/>
      <c r="D58" s="42"/>
      <c r="E58" s="42"/>
      <c r="F58" s="42"/>
      <c r="G58" s="42"/>
      <c r="H58" s="42"/>
      <c r="I58" s="42"/>
      <c r="J58" s="42"/>
      <c r="K58" s="42"/>
      <c r="L58" s="42"/>
      <c r="M58" s="42"/>
      <c r="N58" s="42"/>
      <c r="O58" s="42"/>
    </row>
    <row r="59" spans="1:23">
      <c r="A59" s="45"/>
    </row>
  </sheetData>
  <pageMargins left="0.7" right="0.7" top="0.75" bottom="0.75" header="0.3" footer="0.3"/>
  <pageSetup orientation="portrait" r:id="rId1"/>
  <ignoredErrors>
    <ignoredError sqref="K46:L47 J46 I46:I47" formulaRange="1"/>
  </ignoredErrors>
  <legacyDrawing r:id="rId2"/>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2:AA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1" width="10.6640625" style="14" customWidth="1"/>
    <col min="12" max="23" width="10.6640625" style="14" hidden="1" customWidth="1"/>
    <col min="24" max="16384" width="9.109375" style="14"/>
  </cols>
  <sheetData>
    <row r="2" spans="1:27">
      <c r="A2" s="13" t="s">
        <v>44</v>
      </c>
      <c r="B2" s="14" t="s">
        <v>408</v>
      </c>
    </row>
    <row r="3" spans="1:27" s="16" customFormat="1">
      <c r="A3" s="15" t="s">
        <v>45</v>
      </c>
      <c r="B3" s="16" t="s">
        <v>260</v>
      </c>
    </row>
    <row r="4" spans="1:27">
      <c r="A4" s="13" t="s">
        <v>2</v>
      </c>
      <c r="B4" s="14" t="s">
        <v>4</v>
      </c>
    </row>
    <row r="5" spans="1:27">
      <c r="A5" s="13" t="s">
        <v>46</v>
      </c>
    </row>
    <row r="6" spans="1:27">
      <c r="A6" s="13" t="s">
        <v>47</v>
      </c>
      <c r="B6" s="14">
        <v>3</v>
      </c>
    </row>
    <row r="7" spans="1:27">
      <c r="A7" s="13" t="s">
        <v>48</v>
      </c>
      <c r="B7" s="14" t="s">
        <v>455</v>
      </c>
    </row>
    <row r="8" spans="1:27">
      <c r="A8" s="13" t="s">
        <v>347</v>
      </c>
      <c r="B8" s="14" t="s">
        <v>368</v>
      </c>
    </row>
    <row r="9" spans="1:27">
      <c r="A9" s="17"/>
    </row>
    <row r="10" spans="1:27">
      <c r="A10" s="17" t="s">
        <v>49</v>
      </c>
      <c r="B10" s="18">
        <v>44377</v>
      </c>
      <c r="C10" s="18">
        <v>44286</v>
      </c>
      <c r="D10" s="18">
        <v>44196</v>
      </c>
      <c r="E10" s="18">
        <v>44104</v>
      </c>
      <c r="F10" s="18">
        <v>44012</v>
      </c>
      <c r="G10" s="18">
        <v>43921</v>
      </c>
      <c r="H10" s="18">
        <v>43830</v>
      </c>
      <c r="I10" s="18">
        <v>43738</v>
      </c>
      <c r="J10" s="18">
        <v>43646</v>
      </c>
      <c r="K10" s="18">
        <v>43555</v>
      </c>
      <c r="L10" s="18">
        <v>43465</v>
      </c>
      <c r="M10" s="18">
        <v>43373</v>
      </c>
      <c r="N10" s="18">
        <v>43281</v>
      </c>
      <c r="O10" s="18">
        <v>43190</v>
      </c>
      <c r="P10" s="18">
        <f>EOMONTH(O10,-3)</f>
        <v>43100</v>
      </c>
      <c r="Q10" s="18">
        <f t="shared" ref="Q10:W10" si="0">EOMONTH(P10,-3)</f>
        <v>43008</v>
      </c>
      <c r="R10" s="18">
        <f t="shared" si="0"/>
        <v>42916</v>
      </c>
      <c r="S10" s="18">
        <f t="shared" si="0"/>
        <v>42825</v>
      </c>
      <c r="T10" s="18">
        <f t="shared" si="0"/>
        <v>42735</v>
      </c>
      <c r="U10" s="18">
        <f t="shared" si="0"/>
        <v>42643</v>
      </c>
      <c r="V10" s="18">
        <f t="shared" si="0"/>
        <v>42551</v>
      </c>
      <c r="W10" s="18">
        <f t="shared" si="0"/>
        <v>42460</v>
      </c>
    </row>
    <row r="12" spans="1:27">
      <c r="A12" s="19" t="s">
        <v>50</v>
      </c>
      <c r="B12" s="20">
        <v>293.19600000000003</v>
      </c>
      <c r="C12" s="20">
        <v>273.65100000000001</v>
      </c>
      <c r="D12" s="20">
        <v>252.1</v>
      </c>
      <c r="E12" s="20">
        <v>245.68799999999999</v>
      </c>
      <c r="F12" s="20">
        <v>174.11199999999999</v>
      </c>
      <c r="G12" s="20">
        <v>241.8</v>
      </c>
      <c r="H12" s="20">
        <f>977.694-I12-J12-K12</f>
        <v>227.15799999999996</v>
      </c>
      <c r="I12" s="20">
        <v>249.92400000000001</v>
      </c>
      <c r="J12" s="20">
        <v>248.89100000000002</v>
      </c>
      <c r="K12" s="20">
        <v>251.721</v>
      </c>
      <c r="L12" s="20">
        <f>486.685+483.278-M12-N12-O12</f>
        <v>229.00100000000003</v>
      </c>
      <c r="M12" s="20">
        <v>242.87799999999999</v>
      </c>
      <c r="N12" s="20">
        <v>250.58199999999999</v>
      </c>
      <c r="O12" s="20">
        <v>247.50200000000001</v>
      </c>
      <c r="P12" s="20">
        <f>907.281-S12-R12-Q12</f>
        <v>226.3429999999999</v>
      </c>
      <c r="Q12" s="20">
        <v>237.59100000000001</v>
      </c>
      <c r="R12" s="20">
        <f>680.938-Q12-S12</f>
        <v>234.63799999999998</v>
      </c>
      <c r="S12" s="20">
        <v>208.709</v>
      </c>
      <c r="T12" s="20">
        <v>689.09100000000001</v>
      </c>
      <c r="U12" s="20">
        <v>178.22800000000001</v>
      </c>
      <c r="V12" s="20">
        <v>172.964</v>
      </c>
      <c r="W12" s="20">
        <v>169.67500000000001</v>
      </c>
      <c r="Z12" s="90"/>
      <c r="AA12" s="90"/>
    </row>
    <row r="13" spans="1:27" s="21" customFormat="1">
      <c r="A13" s="21" t="s">
        <v>51</v>
      </c>
      <c r="B13" s="21">
        <f t="shared" ref="B13:S13" si="1">+B12/F12-1</f>
        <v>0.68395056055872105</v>
      </c>
      <c r="C13" s="21">
        <f t="shared" si="1"/>
        <v>0.13172456575682379</v>
      </c>
      <c r="D13" s="21">
        <f t="shared" si="1"/>
        <v>0.10980022715466786</v>
      </c>
      <c r="E13" s="21">
        <f t="shared" si="1"/>
        <v>-1.6949152542372947E-2</v>
      </c>
      <c r="F13" s="21">
        <f t="shared" si="1"/>
        <v>-0.30044879083614928</v>
      </c>
      <c r="G13" s="21">
        <f t="shared" si="1"/>
        <v>-3.94126830896111E-2</v>
      </c>
      <c r="H13" s="21">
        <f t="shared" si="1"/>
        <v>-8.0479997903942779E-3</v>
      </c>
      <c r="I13" s="21">
        <f t="shared" si="1"/>
        <v>2.9010449690791251E-2</v>
      </c>
      <c r="J13" s="21">
        <f t="shared" si="1"/>
        <v>-6.7482899809243602E-3</v>
      </c>
      <c r="K13" s="21">
        <f t="shared" si="1"/>
        <v>1.7046326898368491E-2</v>
      </c>
      <c r="L13" s="21">
        <f t="shared" si="1"/>
        <v>1.1743239243096282E-2</v>
      </c>
      <c r="M13" s="21">
        <f t="shared" si="1"/>
        <v>2.2252526400410755E-2</v>
      </c>
      <c r="N13" s="21">
        <f t="shared" si="1"/>
        <v>6.7951482709535549E-2</v>
      </c>
      <c r="O13" s="21">
        <f t="shared" si="1"/>
        <v>0.18587123698546781</v>
      </c>
      <c r="P13" s="21">
        <f t="shared" si="1"/>
        <v>-0.67153394834644498</v>
      </c>
      <c r="Q13" s="21">
        <f t="shared" si="1"/>
        <v>0.33307336669883525</v>
      </c>
      <c r="R13" s="21">
        <f t="shared" si="1"/>
        <v>0.35657130963668737</v>
      </c>
      <c r="S13" s="21">
        <f t="shared" si="1"/>
        <v>0.23005156917636649</v>
      </c>
    </row>
    <row r="14" spans="1:27"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t="s">
        <v>3</v>
      </c>
      <c r="P14" s="23" t="s">
        <v>3</v>
      </c>
      <c r="Q14" s="23" t="s">
        <v>3</v>
      </c>
      <c r="R14" s="23" t="s">
        <v>3</v>
      </c>
      <c r="S14" s="23" t="s">
        <v>3</v>
      </c>
      <c r="T14" s="22"/>
      <c r="U14" s="22"/>
      <c r="V14" s="22"/>
      <c r="W14" s="22"/>
    </row>
    <row r="15" spans="1:27">
      <c r="B15" s="33"/>
      <c r="C15" s="33"/>
      <c r="D15" s="33"/>
      <c r="O15" s="130"/>
      <c r="Y15" s="21"/>
    </row>
    <row r="16" spans="1:27" s="17" customFormat="1" ht="12.75" customHeight="1">
      <c r="A16" s="25" t="s">
        <v>53</v>
      </c>
      <c r="B16" s="26">
        <v>35.704000000000001</v>
      </c>
      <c r="C16" s="26">
        <v>35.9</v>
      </c>
      <c r="D16" s="26">
        <v>26.2</v>
      </c>
      <c r="E16" s="26">
        <v>29.396999999999998</v>
      </c>
      <c r="F16" s="26">
        <v>12.952999999999999</v>
      </c>
      <c r="G16" s="26">
        <v>27.06</v>
      </c>
      <c r="H16" s="26">
        <v>14.667999999999999</v>
      </c>
      <c r="I16" s="26">
        <v>26.785</v>
      </c>
      <c r="J16" s="26">
        <v>28.544</v>
      </c>
      <c r="K16" s="26">
        <f>54.554-J16</f>
        <v>26.01</v>
      </c>
      <c r="L16" s="26">
        <f>144.732-M16-N16-O16</f>
        <v>24.158000000000001</v>
      </c>
      <c r="M16" s="26">
        <v>42.463999999999999</v>
      </c>
      <c r="N16" s="26">
        <v>43.11</v>
      </c>
      <c r="O16" s="26">
        <v>35</v>
      </c>
      <c r="P16" s="26">
        <v>33</v>
      </c>
      <c r="Q16" s="26">
        <v>34</v>
      </c>
      <c r="R16" s="26">
        <f>97.909-Q16-S16</f>
        <v>35.430000000000007</v>
      </c>
      <c r="S16" s="26">
        <v>28.478999999999999</v>
      </c>
      <c r="T16" s="26">
        <f>89-W16-V16-U16</f>
        <v>19.35400000000001</v>
      </c>
      <c r="U16" s="26">
        <v>25.748999999999999</v>
      </c>
      <c r="V16" s="26">
        <v>22.571000000000002</v>
      </c>
      <c r="W16" s="26">
        <v>21.326000000000001</v>
      </c>
      <c r="Y16" s="155"/>
      <c r="Z16" s="105"/>
      <c r="AA16" s="105"/>
    </row>
    <row r="17" spans="1:26" s="21" customFormat="1">
      <c r="A17" s="21" t="s">
        <v>54</v>
      </c>
      <c r="B17" s="21">
        <f t="shared" ref="B17:C17" si="2">+B16/B12</f>
        <v>0.12177519475026943</v>
      </c>
      <c r="C17" s="21">
        <f t="shared" si="2"/>
        <v>0.1311889962031931</v>
      </c>
      <c r="D17" s="21">
        <f t="shared" ref="D17:E17" si="3">+D16/D12</f>
        <v>0.10392701309004364</v>
      </c>
      <c r="E17" s="21">
        <f t="shared" si="3"/>
        <v>0.11965175344339161</v>
      </c>
      <c r="F17" s="21">
        <f t="shared" ref="F17:G17" si="4">+F16/F12</f>
        <v>7.4394642528946883E-2</v>
      </c>
      <c r="G17" s="21">
        <f t="shared" si="4"/>
        <v>0.11191066997518609</v>
      </c>
      <c r="H17" s="21">
        <f t="shared" ref="H17:I17" si="5">+H16/H12</f>
        <v>6.457179584254133E-2</v>
      </c>
      <c r="I17" s="21">
        <f t="shared" si="5"/>
        <v>0.1071725804644612</v>
      </c>
      <c r="J17" s="21">
        <f t="shared" ref="J17:O17" si="6">+J16/J12</f>
        <v>0.11468474151335323</v>
      </c>
      <c r="K17" s="21">
        <f t="shared" si="6"/>
        <v>0.10332868533018699</v>
      </c>
      <c r="L17" s="21">
        <f t="shared" si="6"/>
        <v>0.10549298911358465</v>
      </c>
      <c r="M17" s="21">
        <f t="shared" si="6"/>
        <v>0.17483674931447066</v>
      </c>
      <c r="N17" s="21">
        <f t="shared" si="6"/>
        <v>0.17203949206247854</v>
      </c>
      <c r="O17" s="21">
        <f t="shared" si="6"/>
        <v>0.14141299868283891</v>
      </c>
      <c r="P17" s="21">
        <f t="shared" ref="P17:V17" si="7">+P16/P12</f>
        <v>0.14579642401134568</v>
      </c>
      <c r="Q17" s="21">
        <f t="shared" si="7"/>
        <v>0.14310306366823658</v>
      </c>
      <c r="R17" s="21">
        <f t="shared" si="7"/>
        <v>0.15099855948311872</v>
      </c>
      <c r="S17" s="21">
        <f t="shared" si="7"/>
        <v>0.13645314768409603</v>
      </c>
      <c r="T17" s="21">
        <f t="shared" si="7"/>
        <v>2.808627597806387E-2</v>
      </c>
      <c r="U17" s="21">
        <f t="shared" si="7"/>
        <v>0.1444722490293332</v>
      </c>
      <c r="V17" s="21">
        <f t="shared" si="7"/>
        <v>0.13049536319696586</v>
      </c>
      <c r="W17" s="21">
        <f>+W16/W12</f>
        <v>0.12568734345071458</v>
      </c>
      <c r="Y17" s="24"/>
    </row>
    <row r="18" spans="1:26" s="24" customFormat="1">
      <c r="B18" s="21"/>
      <c r="C18" s="21"/>
      <c r="D18" s="21"/>
      <c r="Y18" s="113"/>
    </row>
    <row r="19" spans="1:26"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row>
    <row r="20" spans="1:26"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Y20" s="113"/>
    </row>
    <row r="21" spans="1:26"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row>
    <row r="22" spans="1:26" s="17" customFormat="1">
      <c r="A22" s="17" t="s">
        <v>58</v>
      </c>
      <c r="B22" s="27">
        <f t="shared" ref="B22:C22" si="8">SUM(B16,B19:B21)</f>
        <v>35.704000000000001</v>
      </c>
      <c r="C22" s="27">
        <f t="shared" si="8"/>
        <v>35.9</v>
      </c>
      <c r="D22" s="27">
        <f t="shared" ref="D22:E22" si="9">SUM(D16,D19:D21)</f>
        <v>26.2</v>
      </c>
      <c r="E22" s="27">
        <f t="shared" si="9"/>
        <v>29.396999999999998</v>
      </c>
      <c r="F22" s="27">
        <f t="shared" ref="F22:G22" si="10">SUM(F16,F19:F21)</f>
        <v>12.952999999999999</v>
      </c>
      <c r="G22" s="27">
        <f t="shared" si="10"/>
        <v>27.06</v>
      </c>
      <c r="H22" s="27">
        <f t="shared" ref="H22:I22" si="11">SUM(H16,H19:H21)</f>
        <v>14.667999999999999</v>
      </c>
      <c r="I22" s="27">
        <f t="shared" si="11"/>
        <v>26.785</v>
      </c>
      <c r="J22" s="27">
        <f t="shared" ref="J22:O22" si="12">SUM(J16,J19:J21)</f>
        <v>28.544</v>
      </c>
      <c r="K22" s="27">
        <f t="shared" si="12"/>
        <v>26.01</v>
      </c>
      <c r="L22" s="27">
        <f t="shared" si="12"/>
        <v>24.158000000000001</v>
      </c>
      <c r="M22" s="27">
        <f t="shared" si="12"/>
        <v>42.463999999999999</v>
      </c>
      <c r="N22" s="27">
        <f t="shared" si="12"/>
        <v>43.11</v>
      </c>
      <c r="O22" s="27">
        <f t="shared" si="12"/>
        <v>35</v>
      </c>
      <c r="P22" s="27">
        <f t="shared" ref="P22:V22" si="13">SUM(P16,P19:P21)</f>
        <v>33</v>
      </c>
      <c r="Q22" s="27">
        <f t="shared" si="13"/>
        <v>34</v>
      </c>
      <c r="R22" s="27">
        <f t="shared" si="13"/>
        <v>35.430000000000007</v>
      </c>
      <c r="S22" s="27">
        <f t="shared" si="13"/>
        <v>28.478999999999999</v>
      </c>
      <c r="T22" s="27">
        <f t="shared" si="13"/>
        <v>19.35400000000001</v>
      </c>
      <c r="U22" s="27">
        <f t="shared" si="13"/>
        <v>25.748999999999999</v>
      </c>
      <c r="V22" s="27">
        <f t="shared" si="13"/>
        <v>22.571000000000002</v>
      </c>
      <c r="W22" s="27">
        <f>SUM(W16,W19:W21)</f>
        <v>21.326000000000001</v>
      </c>
      <c r="Y22" s="24"/>
      <c r="Z22" s="24"/>
    </row>
    <row r="23" spans="1:26" s="17" customFormat="1">
      <c r="B23" s="21"/>
      <c r="C23" s="21"/>
      <c r="D23" s="21"/>
      <c r="E23" s="21"/>
      <c r="F23" s="21"/>
      <c r="G23" s="21"/>
      <c r="H23" s="21"/>
      <c r="I23" s="21"/>
      <c r="J23" s="21"/>
      <c r="K23" s="21"/>
      <c r="L23" s="21"/>
      <c r="M23" s="21"/>
      <c r="N23" s="21"/>
      <c r="O23" s="21"/>
      <c r="P23" s="21"/>
      <c r="Q23" s="21"/>
      <c r="R23" s="21"/>
      <c r="S23" s="27"/>
      <c r="T23" s="27"/>
      <c r="U23" s="27"/>
      <c r="V23" s="27"/>
      <c r="W23" s="27"/>
      <c r="Y23" s="24"/>
      <c r="Z23" s="24"/>
    </row>
    <row r="24" spans="1:26" s="17" customFormat="1">
      <c r="A24" s="17" t="s">
        <v>59</v>
      </c>
      <c r="B24" s="27">
        <f t="shared" ref="B24:S24" si="14">SUM(B22:E22)</f>
        <v>127.20099999999999</v>
      </c>
      <c r="C24" s="27">
        <f t="shared" si="14"/>
        <v>104.44999999999999</v>
      </c>
      <c r="D24" s="27">
        <f t="shared" si="14"/>
        <v>95.61</v>
      </c>
      <c r="E24" s="27">
        <f t="shared" si="14"/>
        <v>84.078000000000003</v>
      </c>
      <c r="F24" s="27">
        <f t="shared" si="14"/>
        <v>81.465999999999994</v>
      </c>
      <c r="G24" s="27">
        <f t="shared" si="14"/>
        <v>97.056999999999988</v>
      </c>
      <c r="H24" s="27">
        <f t="shared" si="14"/>
        <v>96.007000000000005</v>
      </c>
      <c r="I24" s="27">
        <f t="shared" si="14"/>
        <v>105.497</v>
      </c>
      <c r="J24" s="27">
        <f t="shared" si="14"/>
        <v>121.176</v>
      </c>
      <c r="K24" s="27">
        <f t="shared" si="14"/>
        <v>135.74200000000002</v>
      </c>
      <c r="L24" s="27">
        <f t="shared" si="14"/>
        <v>144.732</v>
      </c>
      <c r="M24" s="27">
        <f t="shared" si="14"/>
        <v>153.57400000000001</v>
      </c>
      <c r="N24" s="27">
        <f t="shared" si="14"/>
        <v>145.11000000000001</v>
      </c>
      <c r="O24" s="27">
        <f t="shared" si="14"/>
        <v>137.43</v>
      </c>
      <c r="P24" s="27">
        <f t="shared" si="14"/>
        <v>130.90899999999999</v>
      </c>
      <c r="Q24" s="27">
        <f t="shared" si="14"/>
        <v>117.26300000000002</v>
      </c>
      <c r="R24" s="27">
        <f t="shared" si="14"/>
        <v>109.01200000000001</v>
      </c>
      <c r="S24" s="27">
        <f t="shared" si="14"/>
        <v>96.153000000000006</v>
      </c>
      <c r="T24" s="27"/>
      <c r="U24" s="27"/>
      <c r="V24" s="27"/>
      <c r="W24" s="27"/>
      <c r="Y24" s="24"/>
      <c r="Z24" s="24"/>
    </row>
    <row r="25" spans="1:26" s="24" customFormat="1">
      <c r="A25" s="19" t="s">
        <v>60</v>
      </c>
      <c r="B25" s="28">
        <f>203-B26-B24</f>
        <v>37.799000000000007</v>
      </c>
      <c r="C25" s="28">
        <f>D25</f>
        <v>37.518999999999991</v>
      </c>
      <c r="D25" s="28">
        <f>133.129-D24</f>
        <v>37.518999999999991</v>
      </c>
      <c r="E25" s="28">
        <f>122.69-E24</f>
        <v>38.611999999999995</v>
      </c>
      <c r="F25" s="28">
        <f>G25</f>
        <v>42.050000000000011</v>
      </c>
      <c r="G25" s="28">
        <f>139.107-G24</f>
        <v>42.050000000000011</v>
      </c>
      <c r="H25" s="28">
        <f>136.8-H24</f>
        <v>40.793000000000006</v>
      </c>
      <c r="I25" s="28">
        <v>0</v>
      </c>
      <c r="J25" s="28">
        <v>0</v>
      </c>
      <c r="K25" s="28">
        <v>0</v>
      </c>
      <c r="L25" s="28">
        <v>0</v>
      </c>
      <c r="M25" s="28">
        <v>0</v>
      </c>
      <c r="N25" s="28">
        <v>0</v>
      </c>
      <c r="O25" s="28">
        <f>134-O24</f>
        <v>-3.4300000000000068</v>
      </c>
      <c r="P25" s="28">
        <v>0</v>
      </c>
      <c r="Q25" s="28">
        <v>0</v>
      </c>
      <c r="R25" s="28">
        <v>0</v>
      </c>
      <c r="S25" s="28">
        <v>0</v>
      </c>
      <c r="T25" s="28"/>
      <c r="U25" s="28"/>
      <c r="V25" s="28"/>
      <c r="W25" s="28"/>
    </row>
    <row r="26" spans="1:26" s="24" customFormat="1">
      <c r="A26" s="19" t="s">
        <v>61</v>
      </c>
      <c r="B26" s="29">
        <f>28+10</f>
        <v>38</v>
      </c>
      <c r="C26" s="29">
        <f>174-C25-C24</f>
        <v>32.031000000000006</v>
      </c>
      <c r="D26" s="29">
        <v>0</v>
      </c>
      <c r="E26" s="29">
        <v>0</v>
      </c>
      <c r="F26" s="29">
        <v>0</v>
      </c>
      <c r="G26" s="29">
        <v>0</v>
      </c>
      <c r="H26" s="29">
        <v>0</v>
      </c>
      <c r="I26" s="29">
        <v>0</v>
      </c>
      <c r="J26" s="29">
        <v>0</v>
      </c>
      <c r="K26" s="29">
        <v>0</v>
      </c>
      <c r="L26" s="29">
        <v>0</v>
      </c>
      <c r="M26" s="29">
        <v>0</v>
      </c>
      <c r="N26" s="29">
        <v>0</v>
      </c>
      <c r="O26" s="29">
        <v>0</v>
      </c>
      <c r="P26" s="29">
        <v>0</v>
      </c>
      <c r="Q26" s="29">
        <v>0</v>
      </c>
      <c r="R26" s="29">
        <v>0</v>
      </c>
      <c r="S26" s="29">
        <v>0</v>
      </c>
      <c r="T26" s="30"/>
      <c r="U26" s="30"/>
      <c r="V26" s="30"/>
      <c r="W26" s="30"/>
    </row>
    <row r="27" spans="1:26" s="32" customFormat="1">
      <c r="A27" s="17" t="s">
        <v>62</v>
      </c>
      <c r="B27" s="27">
        <f t="shared" ref="B27:C27" si="15">SUM(B24:B26)</f>
        <v>203</v>
      </c>
      <c r="C27" s="27">
        <f t="shared" si="15"/>
        <v>174</v>
      </c>
      <c r="D27" s="27">
        <f t="shared" ref="D27:E27" si="16">SUM(D24:D26)</f>
        <v>133.12899999999999</v>
      </c>
      <c r="E27" s="27">
        <f t="shared" si="16"/>
        <v>122.69</v>
      </c>
      <c r="F27" s="27">
        <f t="shared" ref="F27:G27" si="17">SUM(F24:F26)</f>
        <v>123.51600000000001</v>
      </c>
      <c r="G27" s="27">
        <f t="shared" si="17"/>
        <v>139.107</v>
      </c>
      <c r="H27" s="27">
        <f t="shared" ref="H27:I27" si="18">SUM(H24:H26)</f>
        <v>136.80000000000001</v>
      </c>
      <c r="I27" s="27">
        <f t="shared" si="18"/>
        <v>105.497</v>
      </c>
      <c r="J27" s="27">
        <f t="shared" ref="J27:K27" si="19">SUM(J24:J26)</f>
        <v>121.176</v>
      </c>
      <c r="K27" s="27">
        <f t="shared" si="19"/>
        <v>135.74200000000002</v>
      </c>
      <c r="L27" s="27">
        <f t="shared" ref="L27:S27" si="20">SUM(L24:L26)</f>
        <v>144.732</v>
      </c>
      <c r="M27" s="27">
        <f t="shared" si="20"/>
        <v>153.57400000000001</v>
      </c>
      <c r="N27" s="27">
        <f t="shared" si="20"/>
        <v>145.11000000000001</v>
      </c>
      <c r="O27" s="27">
        <f t="shared" si="20"/>
        <v>134</v>
      </c>
      <c r="P27" s="27">
        <f t="shared" si="20"/>
        <v>130.90899999999999</v>
      </c>
      <c r="Q27" s="27">
        <f t="shared" si="20"/>
        <v>117.26300000000002</v>
      </c>
      <c r="R27" s="27">
        <f t="shared" si="20"/>
        <v>109.01200000000001</v>
      </c>
      <c r="S27" s="27">
        <f t="shared" si="20"/>
        <v>96.153000000000006</v>
      </c>
      <c r="T27" s="31"/>
      <c r="U27" s="31"/>
      <c r="V27" s="31"/>
      <c r="W27" s="31"/>
      <c r="Y27" s="24"/>
      <c r="Z27" s="24"/>
    </row>
    <row r="28" spans="1:26" s="24" customFormat="1">
      <c r="G28" s="88"/>
    </row>
    <row r="29" spans="1:26" s="17" customFormat="1">
      <c r="A29" s="17" t="s">
        <v>58</v>
      </c>
      <c r="B29" s="27">
        <f t="shared" ref="B29:C29" si="21">B22</f>
        <v>35.704000000000001</v>
      </c>
      <c r="C29" s="27">
        <f t="shared" si="21"/>
        <v>35.9</v>
      </c>
      <c r="D29" s="27">
        <f t="shared" ref="D29:E29" si="22">D22</f>
        <v>26.2</v>
      </c>
      <c r="E29" s="27">
        <f t="shared" si="22"/>
        <v>29.396999999999998</v>
      </c>
      <c r="F29" s="27">
        <f t="shared" ref="F29:G29" si="23">F22</f>
        <v>12.952999999999999</v>
      </c>
      <c r="G29" s="27">
        <f t="shared" si="23"/>
        <v>27.06</v>
      </c>
      <c r="H29" s="27">
        <f t="shared" ref="H29:J29" si="24">H22</f>
        <v>14.667999999999999</v>
      </c>
      <c r="I29" s="27">
        <f t="shared" si="24"/>
        <v>26.785</v>
      </c>
      <c r="J29" s="27">
        <f t="shared" si="24"/>
        <v>28.544</v>
      </c>
      <c r="K29" s="27">
        <f t="shared" ref="K29:V29" si="25">K22</f>
        <v>26.01</v>
      </c>
      <c r="L29" s="27">
        <f t="shared" si="25"/>
        <v>24.158000000000001</v>
      </c>
      <c r="M29" s="27">
        <f t="shared" si="25"/>
        <v>42.463999999999999</v>
      </c>
      <c r="N29" s="27">
        <f t="shared" si="25"/>
        <v>43.11</v>
      </c>
      <c r="O29" s="27">
        <f t="shared" si="25"/>
        <v>35</v>
      </c>
      <c r="P29" s="27">
        <f t="shared" si="25"/>
        <v>33</v>
      </c>
      <c r="Q29" s="27">
        <f t="shared" si="25"/>
        <v>34</v>
      </c>
      <c r="R29" s="27">
        <f t="shared" si="25"/>
        <v>35.430000000000007</v>
      </c>
      <c r="S29" s="27">
        <f t="shared" si="25"/>
        <v>28.478999999999999</v>
      </c>
      <c r="T29" s="27">
        <f t="shared" si="25"/>
        <v>19.35400000000001</v>
      </c>
      <c r="U29" s="27">
        <f t="shared" si="25"/>
        <v>25.748999999999999</v>
      </c>
      <c r="V29" s="27">
        <f t="shared" si="25"/>
        <v>22.571000000000002</v>
      </c>
      <c r="W29" s="27">
        <f>W22</f>
        <v>21.326000000000001</v>
      </c>
    </row>
    <row r="30" spans="1:26" s="33" customFormat="1">
      <c r="A30" s="20" t="s">
        <v>63</v>
      </c>
      <c r="B30" s="20">
        <f>-20.856+2.271-C30</f>
        <v>-9.6600000000000019</v>
      </c>
      <c r="C30" s="20">
        <f>-9.956+1.031</f>
        <v>-8.9249999999999989</v>
      </c>
      <c r="D30" s="20">
        <f>4.073-E30-F30-G30</f>
        <v>36.986999999999995</v>
      </c>
      <c r="E30" s="20">
        <f>-35.937+3.023-F30-G30</f>
        <v>-9.8249999999999957</v>
      </c>
      <c r="F30" s="20">
        <f>-25.08+1.991-G30</f>
        <v>-10.748999999999999</v>
      </c>
      <c r="G30" s="20">
        <f>-13.348+1.008</f>
        <v>-12.34</v>
      </c>
      <c r="H30" s="20">
        <f>-54.471-I30-J30-K30</f>
        <v>-12.743999999999991</v>
      </c>
      <c r="I30" s="20">
        <f>-44.402+2.675-J30-K30</f>
        <v>-13.320000000000006</v>
      </c>
      <c r="J30" s="20">
        <f>-30.259+1.852-K30</f>
        <v>-14.217000000000001</v>
      </c>
      <c r="K30" s="20">
        <f>-15.103+0.913</f>
        <v>-14.19</v>
      </c>
      <c r="L30" s="20">
        <f>-27.803-19.001-M30-N30-O30</f>
        <v>-13.592000000000001</v>
      </c>
      <c r="M30" s="20">
        <f>-14.49+0.906</f>
        <v>-13.584</v>
      </c>
      <c r="N30" s="20">
        <f>-11.237+0.935</f>
        <v>-10.302</v>
      </c>
      <c r="O30" s="20">
        <f>-10.293+0.967</f>
        <v>-9.3259999999999987</v>
      </c>
      <c r="P30" s="20">
        <f>-33.139-S30-R30-Q30</f>
        <v>-6.338000000000001</v>
      </c>
      <c r="Q30" s="20">
        <v>-9.9220000000000006</v>
      </c>
      <c r="R30" s="20">
        <v>-9.5530000000000008</v>
      </c>
      <c r="S30" s="20">
        <v>-7.3259999999999996</v>
      </c>
      <c r="T30" s="20">
        <f>-22.029-W30-V30-U30</f>
        <v>-1.4879999999999995</v>
      </c>
      <c r="U30" s="20">
        <v>-9.0990000000000002</v>
      </c>
      <c r="V30" s="20">
        <v>-5.8470000000000004</v>
      </c>
      <c r="W30" s="20">
        <v>-5.5949999999999998</v>
      </c>
    </row>
    <row r="31" spans="1:26" s="33" customFormat="1">
      <c r="A31" s="20" t="s">
        <v>64</v>
      </c>
      <c r="B31" s="20">
        <f>-4.209-C31</f>
        <v>-2.3519999999999994</v>
      </c>
      <c r="C31" s="20">
        <f>-1.859+0.002</f>
        <v>-1.857</v>
      </c>
      <c r="D31" s="20">
        <f>-0.022-E31-F31-G31</f>
        <v>5.9320000000000004</v>
      </c>
      <c r="E31" s="20">
        <v>-3.1920000000000002</v>
      </c>
      <c r="F31" s="20">
        <f>-2.762-G31</f>
        <v>-1.7570000000000001</v>
      </c>
      <c r="G31" s="20">
        <f>-0.992-0.013</f>
        <v>-1.0049999999999999</v>
      </c>
      <c r="H31" s="20">
        <f>-5.786-I31-J31-K31</f>
        <v>1.0440000000000005</v>
      </c>
      <c r="I31" s="20">
        <v>-3.06</v>
      </c>
      <c r="J31" s="20">
        <f>-3.77-K31</f>
        <v>-2.169</v>
      </c>
      <c r="K31" s="20">
        <v>-1.601</v>
      </c>
      <c r="L31" s="20">
        <f>-3.423-3.168-M31-N31-O31</f>
        <v>6.3009999999999993</v>
      </c>
      <c r="M31" s="20">
        <v>-1.907</v>
      </c>
      <c r="N31" s="20">
        <v>-9.77</v>
      </c>
      <c r="O31" s="20">
        <v>-1.2150000000000001</v>
      </c>
      <c r="P31" s="20">
        <f>-6.298-S31-R31-Q31</f>
        <v>-2.6320000000000001</v>
      </c>
      <c r="Q31" s="20">
        <v>-1.157</v>
      </c>
      <c r="R31" s="20">
        <v>-1.496</v>
      </c>
      <c r="S31" s="20">
        <v>-1.0129999999999999</v>
      </c>
      <c r="T31" s="20">
        <f>-4.941-W31-V31-U31</f>
        <v>-0.25899999999999923</v>
      </c>
      <c r="U31" s="20">
        <v>-1.8640000000000001</v>
      </c>
      <c r="V31" s="20">
        <v>-0.90500000000000003</v>
      </c>
      <c r="W31" s="20">
        <v>-1.913</v>
      </c>
    </row>
    <row r="32" spans="1:26" s="33" customFormat="1">
      <c r="A32" s="20" t="s">
        <v>65</v>
      </c>
      <c r="B32" s="20">
        <f>-18.6-19.254-7.193+30.815+17.091+1.612-C32</f>
        <v>15.137</v>
      </c>
      <c r="C32" s="20">
        <f>-18.055-9.511-0.005-6.172+14.172+8.266+0.639</f>
        <v>-10.665999999999995</v>
      </c>
      <c r="D32" s="20">
        <f>6.677+3.018-21.475+31.958+38.164-0.791-E32-F32-G32</f>
        <v>-1.5309999999999917</v>
      </c>
      <c r="E32" s="20">
        <f>6.195+13.442+9.183+19.915+10.901-0.554-F32-G32</f>
        <v>24.960999999999991</v>
      </c>
      <c r="F32" s="20">
        <f>23.628+25.835+5.992-24.07+2.386+0.35-G32</f>
        <v>8.5840000000000032</v>
      </c>
      <c r="G32" s="20">
        <f>6.891+5.428+0.037+20.935+14.206-21.855-0.105</f>
        <v>25.536999999999999</v>
      </c>
      <c r="H32" s="20">
        <f>-9.936-5.228+1.416-3.689+3.32+5.822-2.795-I32-J32-K32</f>
        <v>-2.1569999999999983</v>
      </c>
      <c r="I32" s="20">
        <f>0.437+1.507-3.355+5.453+3.452-0.801</f>
        <v>6.6929999999999996</v>
      </c>
      <c r="J32" s="20">
        <f>-11.967-1.08-5.6-5.454+7.163+1.312-K32</f>
        <v>-2.8960000000000026</v>
      </c>
      <c r="K32" s="20">
        <f>-14.931+1.903-2.049-1.639+2.442+1.544</f>
        <v>-12.729999999999997</v>
      </c>
      <c r="L32" s="20">
        <f>11.799+14.266-0.108+1.173-0.987+6.783+0.795-20.158-6.359-0.495-0.699+10.467+24.313+3.344+9.554-M32-N32-O32</f>
        <v>48.124999999999993</v>
      </c>
      <c r="M32" s="20">
        <f>2.962+17.953-1.933-3.363+6.587+0.088</f>
        <v>22.294</v>
      </c>
      <c r="N32" s="20">
        <f>0.747-13.341+5.049+3.388+7.304+3.822</f>
        <v>6.9690000000000012</v>
      </c>
      <c r="O32" s="20">
        <f>-23.426-5.247-1.319+5.462+1.235-0.405</f>
        <v>-23.7</v>
      </c>
      <c r="P32" s="20">
        <f>-19.365-0.305-21.939-2.659+28.897+5.449-0.51-S32-R32-Q32</f>
        <v>-4.1759999999999931</v>
      </c>
      <c r="Q32" s="20">
        <f>-4.251-10.797+0.039+10.094+3.407-0.624</f>
        <v>-2.1320000000000028</v>
      </c>
      <c r="R32" s="20">
        <f>-4.618-7.684-4.998+17.123+4.648+0.018</f>
        <v>4.4889999999999999</v>
      </c>
      <c r="S32" s="20">
        <f>-22.149+12.13-2.102+0.182+2.853+0.471+0.002</f>
        <v>-8.6129999999999995</v>
      </c>
      <c r="T32" s="20">
        <f>2.2-0.441-6.671+3.286-2.593+2.962-0.627-W32-V32-U32</f>
        <v>8.3680000000000021</v>
      </c>
      <c r="U32" s="20">
        <f>0.368-3.515+0.834-6.16-0.548+0.603+0.001</f>
        <v>-8.4170000000000016</v>
      </c>
      <c r="V32" s="20">
        <f>0.591-1.733-0.19+3.479+2.224-0.69</f>
        <v>3.6810000000000005</v>
      </c>
      <c r="W32" s="20">
        <f>-8.333+6.25+0.218-5.054+1.191+0.212</f>
        <v>-5.5160000000000009</v>
      </c>
    </row>
    <row r="33" spans="1:27"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c r="W33" s="20">
        <v>0</v>
      </c>
    </row>
    <row r="34" spans="1:27" s="33" customFormat="1">
      <c r="A34" s="20" t="s">
        <v>57</v>
      </c>
      <c r="B34" s="20">
        <v>0</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0">
        <v>0</v>
      </c>
      <c r="V34" s="20">
        <v>0</v>
      </c>
      <c r="W34" s="20">
        <v>0</v>
      </c>
    </row>
    <row r="35" spans="1:27" s="27" customFormat="1">
      <c r="A35" s="27" t="s">
        <v>67</v>
      </c>
      <c r="B35" s="27">
        <f>33.746-C35</f>
        <v>27.026000000000003</v>
      </c>
      <c r="C35" s="27">
        <v>6.72</v>
      </c>
      <c r="D35" s="27">
        <f>58.695-E35-F35-G35</f>
        <v>7.3629999999999924</v>
      </c>
      <c r="E35" s="27">
        <f>51.332-F35-G35</f>
        <v>32.177000000000007</v>
      </c>
      <c r="F35" s="27">
        <f>19.155-G35</f>
        <v>-13.146000000000001</v>
      </c>
      <c r="G35" s="27">
        <v>32.301000000000002</v>
      </c>
      <c r="H35" s="27">
        <f>4.854-I35-J35-K35</f>
        <v>4.45</v>
      </c>
      <c r="I35" s="27">
        <f>0.404-J35-K35</f>
        <v>6.3239999999999998</v>
      </c>
      <c r="J35" s="27">
        <f>-5.92-K35</f>
        <v>-0.34799999999999986</v>
      </c>
      <c r="K35" s="27">
        <v>-5.5720000000000001</v>
      </c>
      <c r="L35" s="27">
        <f>21.713+12.737-M35-N35-O35</f>
        <v>45.260000000000005</v>
      </c>
      <c r="M35" s="27">
        <v>13.964</v>
      </c>
      <c r="N35" s="27">
        <v>-17.161999999999999</v>
      </c>
      <c r="O35" s="27">
        <v>-7.6120000000000001</v>
      </c>
      <c r="P35" s="27">
        <f>42.355-S35-R35-Q35</f>
        <v>7.6169999999999991</v>
      </c>
      <c r="Q35" s="27">
        <v>15.208</v>
      </c>
      <c r="R35" s="27">
        <v>19.081</v>
      </c>
      <c r="S35" s="27">
        <v>0.44900000000000001</v>
      </c>
      <c r="T35" s="27">
        <f>27.963-W35-V35-U35</f>
        <v>11.606</v>
      </c>
      <c r="U35" s="27">
        <v>4.3620000000000001</v>
      </c>
      <c r="V35" s="27">
        <v>10.189</v>
      </c>
      <c r="W35" s="27">
        <v>1.806</v>
      </c>
    </row>
    <row r="36" spans="1:27" s="33" customFormat="1">
      <c r="A36" s="20" t="s">
        <v>68</v>
      </c>
      <c r="B36" s="29">
        <f>-9.408-C36</f>
        <v>-5.0979999999999999</v>
      </c>
      <c r="C36" s="29">
        <v>-4.3099999999999996</v>
      </c>
      <c r="D36" s="29">
        <f>-16.029-E36-F36-G36</f>
        <v>-3.6770000000000005</v>
      </c>
      <c r="E36" s="29">
        <f>-12.352-F36-G36</f>
        <v>-4.4939999999999998</v>
      </c>
      <c r="F36" s="29">
        <f>-7.858-G36</f>
        <v>-3.8380000000000001</v>
      </c>
      <c r="G36" s="29">
        <v>-4.0199999999999996</v>
      </c>
      <c r="H36" s="29">
        <f>-29.581-I36-J36-K36</f>
        <v>-5.2729999999999997</v>
      </c>
      <c r="I36" s="29">
        <f>-24.308-J36-K36</f>
        <v>-7.41</v>
      </c>
      <c r="J36" s="29">
        <f>-16.898-K36</f>
        <v>-9.3079999999999998</v>
      </c>
      <c r="K36" s="29">
        <v>-7.59</v>
      </c>
      <c r="L36" s="29">
        <f>-19.325-16.3-M36-N36-O36</f>
        <v>-9.0680000000000014</v>
      </c>
      <c r="M36" s="29">
        <v>-8.6649999999999991</v>
      </c>
      <c r="N36" s="29">
        <v>-10.582000000000001</v>
      </c>
      <c r="O36" s="29">
        <v>-7.31</v>
      </c>
      <c r="P36" s="29">
        <f>-27.394-S36-R36-Q36</f>
        <v>-6.6109999999999971</v>
      </c>
      <c r="Q36" s="29">
        <v>-8.9130000000000003</v>
      </c>
      <c r="R36" s="29">
        <v>-6.4889999999999999</v>
      </c>
      <c r="S36" s="29">
        <v>-5.3810000000000002</v>
      </c>
      <c r="T36" s="29">
        <f>-20.789-W36-V36-U36</f>
        <v>-6.1380000000000026</v>
      </c>
      <c r="U36" s="29">
        <v>-5.14</v>
      </c>
      <c r="V36" s="29">
        <v>-5.64</v>
      </c>
      <c r="W36" s="29">
        <v>-3.871</v>
      </c>
    </row>
    <row r="37" spans="1:27" s="27" customFormat="1">
      <c r="A37" s="27" t="s">
        <v>69</v>
      </c>
      <c r="B37" s="27">
        <f t="shared" ref="B37:O37" si="26">+B35+B36</f>
        <v>21.928000000000004</v>
      </c>
      <c r="C37" s="27">
        <f t="shared" si="26"/>
        <v>2.41</v>
      </c>
      <c r="D37" s="27">
        <f t="shared" si="26"/>
        <v>3.6859999999999919</v>
      </c>
      <c r="E37" s="27">
        <f t="shared" si="26"/>
        <v>27.683000000000007</v>
      </c>
      <c r="F37" s="27">
        <f t="shared" si="26"/>
        <v>-16.984000000000002</v>
      </c>
      <c r="G37" s="27">
        <f t="shared" si="26"/>
        <v>28.281000000000002</v>
      </c>
      <c r="H37" s="27">
        <f t="shared" si="26"/>
        <v>-0.82299999999999951</v>
      </c>
      <c r="I37" s="27">
        <f t="shared" si="26"/>
        <v>-1.0860000000000003</v>
      </c>
      <c r="J37" s="27">
        <f t="shared" si="26"/>
        <v>-9.6559999999999988</v>
      </c>
      <c r="K37" s="27">
        <f t="shared" si="26"/>
        <v>-13.161999999999999</v>
      </c>
      <c r="L37" s="27">
        <f t="shared" si="26"/>
        <v>36.192000000000007</v>
      </c>
      <c r="M37" s="27">
        <f t="shared" si="26"/>
        <v>5.2990000000000013</v>
      </c>
      <c r="N37" s="27">
        <f t="shared" si="26"/>
        <v>-27.744</v>
      </c>
      <c r="O37" s="27">
        <f t="shared" si="26"/>
        <v>-14.922000000000001</v>
      </c>
      <c r="P37" s="27">
        <f t="shared" ref="P37:V37" si="27">+P35+P36</f>
        <v>1.006000000000002</v>
      </c>
      <c r="Q37" s="27">
        <f t="shared" si="27"/>
        <v>6.2949999999999999</v>
      </c>
      <c r="R37" s="27">
        <f t="shared" si="27"/>
        <v>12.591999999999999</v>
      </c>
      <c r="S37" s="27">
        <f t="shared" si="27"/>
        <v>-4.9320000000000004</v>
      </c>
      <c r="T37" s="27">
        <f t="shared" si="27"/>
        <v>5.4679999999999973</v>
      </c>
      <c r="U37" s="27">
        <f t="shared" si="27"/>
        <v>-0.77799999999999958</v>
      </c>
      <c r="V37" s="27">
        <f t="shared" si="27"/>
        <v>4.5490000000000004</v>
      </c>
      <c r="W37" s="27">
        <f>+W35+W36</f>
        <v>-2.0649999999999999</v>
      </c>
    </row>
    <row r="38" spans="1:27">
      <c r="B38" s="33"/>
      <c r="C38" s="33"/>
      <c r="D38" s="33"/>
      <c r="E38" s="33"/>
      <c r="F38" s="33"/>
      <c r="G38" s="33"/>
      <c r="H38" s="33"/>
      <c r="I38" s="33"/>
      <c r="J38" s="33"/>
    </row>
    <row r="39" spans="1:27" s="35" customFormat="1">
      <c r="A39" s="34" t="s">
        <v>70</v>
      </c>
      <c r="B39" s="20">
        <v>0</v>
      </c>
      <c r="C39" s="20">
        <v>0</v>
      </c>
      <c r="D39" s="20">
        <v>0</v>
      </c>
      <c r="E39" s="20">
        <f>H39-25.5</f>
        <v>0</v>
      </c>
      <c r="F39" s="20">
        <f>H39+74.759</f>
        <v>100.259</v>
      </c>
      <c r="G39" s="20">
        <f>H39+74.36</f>
        <v>99.86</v>
      </c>
      <c r="H39" s="20">
        <v>25.5</v>
      </c>
      <c r="I39" s="20">
        <f>J39-1.491</f>
        <v>13.298999999999999</v>
      </c>
      <c r="J39" s="20">
        <v>14.79</v>
      </c>
      <c r="K39" s="20">
        <f>L39+0.86</f>
        <v>35.86</v>
      </c>
      <c r="L39" s="20">
        <v>35</v>
      </c>
      <c r="M39" s="20">
        <v>25</v>
      </c>
      <c r="N39" s="20">
        <f>O39</f>
        <v>0</v>
      </c>
      <c r="O39" s="20">
        <v>0</v>
      </c>
      <c r="P39" s="20">
        <v>0</v>
      </c>
      <c r="Q39" s="20"/>
      <c r="R39" s="20"/>
      <c r="S39" s="20"/>
      <c r="T39" s="20"/>
      <c r="U39" s="20"/>
      <c r="V39" s="20"/>
      <c r="W39" s="20"/>
      <c r="X39" s="33"/>
      <c r="Y39" s="33"/>
      <c r="Z39" s="33"/>
    </row>
    <row r="40" spans="1:27" s="35" customFormat="1">
      <c r="A40" s="34" t="s">
        <v>71</v>
      </c>
      <c r="B40" s="20">
        <f>567+175</f>
        <v>742</v>
      </c>
      <c r="C40" s="20">
        <f>567+100</f>
        <v>667</v>
      </c>
      <c r="D40" s="20">
        <v>568.4</v>
      </c>
      <c r="E40" s="20">
        <v>569.88300000000004</v>
      </c>
      <c r="F40" s="20">
        <f>H40-2.955-0.101+0.032</f>
        <v>574.77800000000002</v>
      </c>
      <c r="G40" s="20">
        <f>H40-1.529-0.051</f>
        <v>576.22199999999998</v>
      </c>
      <c r="H40" s="20">
        <f>574.255+1.525+2.022</f>
        <v>577.80200000000002</v>
      </c>
      <c r="I40" s="20">
        <f>J40-1.174-0.058</f>
        <v>577.39600000000007</v>
      </c>
      <c r="J40" s="20">
        <v>578.62800000000004</v>
      </c>
      <c r="K40" s="20">
        <f>L40-1.774</f>
        <v>578.31100000000004</v>
      </c>
      <c r="L40" s="20">
        <f>580.085</f>
        <v>580.08500000000004</v>
      </c>
      <c r="M40" s="20">
        <f>M41-115-M39</f>
        <v>586.74</v>
      </c>
      <c r="N40" s="20">
        <f>583</f>
        <v>583</v>
      </c>
      <c r="O40" s="20">
        <v>570</v>
      </c>
      <c r="P40" s="20">
        <f>567.422+2.028+0.16+0.21+3.832</f>
        <v>573.65200000000004</v>
      </c>
      <c r="Q40" s="20"/>
      <c r="R40" s="20"/>
      <c r="S40" s="20"/>
      <c r="T40" s="20"/>
      <c r="U40" s="20"/>
      <c r="V40" s="20"/>
      <c r="W40" s="20"/>
      <c r="X40" s="33"/>
      <c r="Y40" s="33"/>
      <c r="Z40" s="33"/>
      <c r="AA40" s="33"/>
    </row>
    <row r="41" spans="1:27" s="35" customFormat="1">
      <c r="A41" s="34" t="s">
        <v>72</v>
      </c>
      <c r="B41" s="20">
        <f>+B39+B40+115+3</f>
        <v>860</v>
      </c>
      <c r="C41" s="20">
        <f>+C39+C40+115+3</f>
        <v>785</v>
      </c>
      <c r="D41" s="20">
        <v>687.1</v>
      </c>
      <c r="E41" s="20">
        <f t="shared" ref="E41:L41" si="28">E39+E40+115</f>
        <v>684.88300000000004</v>
      </c>
      <c r="F41" s="20">
        <f t="shared" si="28"/>
        <v>790.03700000000003</v>
      </c>
      <c r="G41" s="20">
        <f t="shared" si="28"/>
        <v>791.08199999999999</v>
      </c>
      <c r="H41" s="20">
        <f t="shared" si="28"/>
        <v>718.30200000000002</v>
      </c>
      <c r="I41" s="20">
        <f t="shared" si="28"/>
        <v>705.69500000000005</v>
      </c>
      <c r="J41" s="20">
        <f t="shared" si="28"/>
        <v>708.41800000000001</v>
      </c>
      <c r="K41" s="20">
        <f t="shared" si="28"/>
        <v>729.17100000000005</v>
      </c>
      <c r="L41" s="20">
        <f t="shared" si="28"/>
        <v>730.08500000000004</v>
      </c>
      <c r="M41" s="20">
        <f>726.74</f>
        <v>726.74</v>
      </c>
      <c r="N41" s="20">
        <f>N39+N40+115</f>
        <v>698</v>
      </c>
      <c r="O41" s="20">
        <f>O39+O40+125</f>
        <v>695</v>
      </c>
      <c r="P41" s="20">
        <f>P39+P40</f>
        <v>573.65200000000004</v>
      </c>
      <c r="Q41" s="20"/>
      <c r="R41" s="20"/>
      <c r="S41" s="20"/>
      <c r="T41" s="20"/>
      <c r="U41" s="20"/>
      <c r="V41" s="20"/>
      <c r="W41" s="20"/>
      <c r="X41" s="33"/>
      <c r="Y41" s="33"/>
      <c r="Z41" s="33"/>
      <c r="AA41" s="33"/>
    </row>
    <row r="42" spans="1:27" s="35" customFormat="1">
      <c r="A42" s="34" t="s">
        <v>73</v>
      </c>
      <c r="B42" s="36">
        <f>291+11</f>
        <v>302</v>
      </c>
      <c r="C42" s="36">
        <v>277</v>
      </c>
      <c r="D42" s="36">
        <f t="shared" ref="D42:M42" si="29">228+12</f>
        <v>240</v>
      </c>
      <c r="E42" s="36">
        <f t="shared" si="29"/>
        <v>240</v>
      </c>
      <c r="F42" s="36">
        <f t="shared" si="29"/>
        <v>240</v>
      </c>
      <c r="G42" s="36">
        <f t="shared" si="29"/>
        <v>240</v>
      </c>
      <c r="H42" s="36">
        <f t="shared" si="29"/>
        <v>240</v>
      </c>
      <c r="I42" s="36">
        <f t="shared" si="29"/>
        <v>240</v>
      </c>
      <c r="J42" s="36">
        <f t="shared" si="29"/>
        <v>240</v>
      </c>
      <c r="K42" s="36">
        <f t="shared" si="29"/>
        <v>240</v>
      </c>
      <c r="L42" s="36">
        <f t="shared" si="29"/>
        <v>240</v>
      </c>
      <c r="M42" s="36">
        <f t="shared" si="29"/>
        <v>240</v>
      </c>
      <c r="N42" s="36">
        <f>O42</f>
        <v>240</v>
      </c>
      <c r="O42" s="36">
        <f>228+12</f>
        <v>240</v>
      </c>
      <c r="P42" s="36">
        <v>0</v>
      </c>
      <c r="Q42" s="36"/>
      <c r="R42" s="36"/>
      <c r="S42" s="36"/>
      <c r="T42" s="36"/>
      <c r="U42" s="36"/>
      <c r="V42" s="36"/>
      <c r="W42" s="36"/>
      <c r="Z42" s="33"/>
      <c r="AA42" s="33"/>
    </row>
    <row r="43" spans="1:27">
      <c r="B43" s="33"/>
      <c r="C43" s="33"/>
      <c r="D43" s="33"/>
      <c r="E43" s="35"/>
      <c r="F43" s="35"/>
      <c r="G43" s="35"/>
      <c r="H43" s="35"/>
      <c r="I43" s="35"/>
      <c r="J43" s="35"/>
      <c r="K43" s="35"/>
      <c r="L43" s="35"/>
      <c r="M43" s="35"/>
      <c r="N43" s="35"/>
      <c r="O43" s="35"/>
      <c r="P43" s="35"/>
      <c r="Q43" s="35"/>
    </row>
    <row r="44" spans="1:27">
      <c r="A44" s="19" t="s">
        <v>74</v>
      </c>
      <c r="B44" s="28">
        <v>31</v>
      </c>
      <c r="C44" s="28">
        <v>15</v>
      </c>
      <c r="D44" s="28">
        <v>19.082999999999998</v>
      </c>
      <c r="E44" s="28">
        <v>16.472999999999999</v>
      </c>
      <c r="F44" s="28">
        <v>91.137</v>
      </c>
      <c r="G44" s="28">
        <v>109.29900000000001</v>
      </c>
      <c r="H44" s="28">
        <v>7.0970000000000004</v>
      </c>
      <c r="I44" s="28">
        <v>8.52</v>
      </c>
      <c r="J44" s="28">
        <v>9.8559999999999999</v>
      </c>
      <c r="K44" s="28">
        <v>8.1530000000000005</v>
      </c>
      <c r="L44" s="28">
        <v>22.297999999999998</v>
      </c>
      <c r="M44" s="28">
        <v>9.7620000000000005</v>
      </c>
      <c r="N44" s="119"/>
      <c r="O44" s="28">
        <v>7</v>
      </c>
      <c r="P44" s="28">
        <v>41.643999999999998</v>
      </c>
      <c r="Q44" s="28"/>
      <c r="R44" s="28"/>
      <c r="S44" s="28"/>
      <c r="T44" s="57"/>
      <c r="U44" s="57"/>
      <c r="V44" s="57"/>
      <c r="W44" s="57"/>
    </row>
    <row r="46" spans="1:27">
      <c r="A46" s="14" t="s">
        <v>75</v>
      </c>
      <c r="B46" s="51">
        <f>1013+(38.4*0.8)</f>
        <v>1043.72</v>
      </c>
      <c r="C46" s="51">
        <v>1026</v>
      </c>
      <c r="D46" s="33">
        <f t="shared" ref="D46:P46" si="30">SUM(D12:G12)</f>
        <v>913.7</v>
      </c>
      <c r="E46" s="33">
        <f t="shared" si="30"/>
        <v>888.75799999999981</v>
      </c>
      <c r="F46" s="33">
        <f t="shared" si="30"/>
        <v>892.99399999999991</v>
      </c>
      <c r="G46" s="33">
        <f t="shared" si="30"/>
        <v>967.77299999999991</v>
      </c>
      <c r="H46" s="33">
        <f t="shared" si="30"/>
        <v>977.69399999999996</v>
      </c>
      <c r="I46" s="33">
        <f t="shared" si="30"/>
        <v>979.53700000000003</v>
      </c>
      <c r="J46" s="33">
        <f t="shared" si="30"/>
        <v>972.49099999999999</v>
      </c>
      <c r="K46" s="33">
        <f t="shared" si="30"/>
        <v>974.18200000000002</v>
      </c>
      <c r="L46" s="33">
        <f t="shared" si="30"/>
        <v>969.96299999999997</v>
      </c>
      <c r="M46" s="33">
        <f t="shared" si="30"/>
        <v>967.30499999999984</v>
      </c>
      <c r="N46" s="33">
        <f t="shared" si="30"/>
        <v>962.01799999999992</v>
      </c>
      <c r="O46" s="33">
        <f t="shared" si="30"/>
        <v>946.07399999999984</v>
      </c>
      <c r="P46" s="33">
        <f t="shared" si="30"/>
        <v>907.28099999999995</v>
      </c>
      <c r="Q46" s="33"/>
      <c r="R46" s="33"/>
      <c r="S46" s="33"/>
    </row>
    <row r="47" spans="1:27">
      <c r="A47" s="14" t="s">
        <v>76</v>
      </c>
      <c r="B47" s="33">
        <f t="shared" ref="B47" si="31">+B27</f>
        <v>203</v>
      </c>
      <c r="C47" s="33">
        <f t="shared" ref="C47:D47" si="32">+C27</f>
        <v>174</v>
      </c>
      <c r="D47" s="33">
        <f t="shared" si="32"/>
        <v>133.12899999999999</v>
      </c>
      <c r="E47" s="33">
        <f t="shared" ref="E47:F47" si="33">+E27</f>
        <v>122.69</v>
      </c>
      <c r="F47" s="33">
        <f t="shared" si="33"/>
        <v>123.51600000000001</v>
      </c>
      <c r="G47" s="33">
        <f t="shared" ref="G47:H47" si="34">+G27</f>
        <v>139.107</v>
      </c>
      <c r="H47" s="33">
        <f t="shared" si="34"/>
        <v>136.80000000000001</v>
      </c>
      <c r="I47" s="33">
        <f t="shared" ref="I47:J47" si="35">+I27</f>
        <v>105.497</v>
      </c>
      <c r="J47" s="33">
        <f t="shared" si="35"/>
        <v>121.176</v>
      </c>
      <c r="K47" s="33">
        <f t="shared" ref="K47:P47" si="36">+K27</f>
        <v>135.74200000000002</v>
      </c>
      <c r="L47" s="33">
        <f t="shared" si="36"/>
        <v>144.732</v>
      </c>
      <c r="M47" s="33">
        <f t="shared" si="36"/>
        <v>153.57400000000001</v>
      </c>
      <c r="N47" s="33">
        <f t="shared" si="36"/>
        <v>145.11000000000001</v>
      </c>
      <c r="O47" s="33">
        <f t="shared" si="36"/>
        <v>134</v>
      </c>
      <c r="P47" s="33">
        <f t="shared" si="36"/>
        <v>130.90899999999999</v>
      </c>
      <c r="Q47" s="33"/>
      <c r="R47" s="33"/>
      <c r="S47" s="33"/>
    </row>
    <row r="48" spans="1:27">
      <c r="A48" s="14" t="s">
        <v>77</v>
      </c>
      <c r="B48" s="33">
        <f t="shared" ref="B48:G48" si="37">+SUM(B37:E37)</f>
        <v>55.707000000000008</v>
      </c>
      <c r="C48" s="33">
        <f t="shared" si="37"/>
        <v>16.794999999999995</v>
      </c>
      <c r="D48" s="33">
        <f t="shared" si="37"/>
        <v>42.665999999999997</v>
      </c>
      <c r="E48" s="33">
        <f t="shared" si="37"/>
        <v>38.157000000000004</v>
      </c>
      <c r="F48" s="33">
        <f t="shared" si="37"/>
        <v>9.3879999999999999</v>
      </c>
      <c r="G48" s="33">
        <f t="shared" si="37"/>
        <v>16.716000000000001</v>
      </c>
      <c r="H48" s="33">
        <f t="shared" ref="H48:P48" si="38">+SUM(H37:K37)</f>
        <v>-24.726999999999997</v>
      </c>
      <c r="I48" s="33">
        <f t="shared" si="38"/>
        <v>12.288000000000011</v>
      </c>
      <c r="J48" s="33">
        <f t="shared" si="38"/>
        <v>18.673000000000009</v>
      </c>
      <c r="K48" s="33">
        <f t="shared" si="38"/>
        <v>0.58500000000000796</v>
      </c>
      <c r="L48" s="33">
        <f t="shared" si="38"/>
        <v>-1.1749999999999936</v>
      </c>
      <c r="M48" s="33">
        <f t="shared" si="38"/>
        <v>-36.361000000000004</v>
      </c>
      <c r="N48" s="33">
        <f t="shared" si="38"/>
        <v>-35.364999999999995</v>
      </c>
      <c r="O48" s="33">
        <f t="shared" si="38"/>
        <v>4.9710000000000001</v>
      </c>
      <c r="P48" s="33">
        <f t="shared" si="38"/>
        <v>14.961</v>
      </c>
      <c r="Q48" s="33"/>
      <c r="R48" s="33"/>
      <c r="S48" s="33"/>
    </row>
    <row r="50" spans="1:23" s="37" customFormat="1">
      <c r="A50" s="37" t="s">
        <v>78</v>
      </c>
      <c r="B50" s="37">
        <f t="shared" ref="B50" si="39">+SUM(B39:B40)/B47</f>
        <v>3.6551724137931036</v>
      </c>
      <c r="C50" s="37">
        <f t="shared" ref="C50:D50" si="40">+SUM(C39:C40)/C47</f>
        <v>3.8333333333333335</v>
      </c>
      <c r="D50" s="37">
        <f t="shared" si="40"/>
        <v>4.2695430747620726</v>
      </c>
      <c r="E50" s="37">
        <f t="shared" ref="E50:F50" si="41">+SUM(E39:E40)/E47</f>
        <v>4.6449017849865522</v>
      </c>
      <c r="F50" s="37">
        <f t="shared" si="41"/>
        <v>5.4651786003432754</v>
      </c>
      <c r="G50" s="37">
        <f t="shared" ref="G50:H50" si="42">+SUM(G39:G40)/G47</f>
        <v>4.8601580078644497</v>
      </c>
      <c r="H50" s="37">
        <f t="shared" si="42"/>
        <v>4.4101023391812859</v>
      </c>
      <c r="I50" s="37">
        <f t="shared" ref="I50:J50" si="43">+SUM(I39:I40)/I47</f>
        <v>5.5991639572689271</v>
      </c>
      <c r="J50" s="37">
        <f t="shared" si="43"/>
        <v>4.8971578530402056</v>
      </c>
      <c r="K50" s="37">
        <f t="shared" ref="K50:P50" si="44">+SUM(K39:K40)/K47</f>
        <v>4.524546566280149</v>
      </c>
      <c r="L50" s="37">
        <f t="shared" si="44"/>
        <v>4.2498203576265103</v>
      </c>
      <c r="M50" s="37">
        <f t="shared" si="44"/>
        <v>3.9833565577506604</v>
      </c>
      <c r="N50" s="37">
        <f t="shared" si="44"/>
        <v>4.0176417889876639</v>
      </c>
      <c r="O50" s="37">
        <f t="shared" si="44"/>
        <v>4.2537313432835822</v>
      </c>
      <c r="P50" s="37">
        <f t="shared" si="44"/>
        <v>4.3820669319909253</v>
      </c>
    </row>
    <row r="51" spans="1:23" s="37" customFormat="1">
      <c r="A51" s="37" t="s">
        <v>79</v>
      </c>
      <c r="B51" s="37">
        <f t="shared" ref="B51" si="45">+B41/B47</f>
        <v>4.2364532019704431</v>
      </c>
      <c r="C51" s="37">
        <f t="shared" ref="C51:D51" si="46">+C41/C47</f>
        <v>4.5114942528735629</v>
      </c>
      <c r="D51" s="37">
        <f t="shared" si="46"/>
        <v>5.1611594768983471</v>
      </c>
      <c r="E51" s="37">
        <f t="shared" ref="E51:F51" si="47">+E41/E47</f>
        <v>5.5822234900969931</v>
      </c>
      <c r="F51" s="37">
        <f t="shared" si="47"/>
        <v>6.3962320671006188</v>
      </c>
      <c r="G51" s="37">
        <f t="shared" ref="G51:H51" si="48">+G41/G47</f>
        <v>5.6868597554400573</v>
      </c>
      <c r="H51" s="37">
        <f t="shared" si="48"/>
        <v>5.250745614035087</v>
      </c>
      <c r="I51" s="37">
        <f t="shared" ref="I51:J51" si="49">+I41/I47</f>
        <v>6.6892423481236438</v>
      </c>
      <c r="J51" s="37">
        <f t="shared" si="49"/>
        <v>5.8461906648181161</v>
      </c>
      <c r="K51" s="37">
        <f t="shared" ref="K51:P51" si="50">+K41/K47</f>
        <v>5.3717419811112253</v>
      </c>
      <c r="L51" s="37">
        <f t="shared" si="50"/>
        <v>5.0443923942182796</v>
      </c>
      <c r="M51" s="37">
        <f t="shared" si="50"/>
        <v>4.7321812285933813</v>
      </c>
      <c r="N51" s="37">
        <f t="shared" si="50"/>
        <v>4.8101440286679065</v>
      </c>
      <c r="O51" s="37">
        <f t="shared" si="50"/>
        <v>5.1865671641791042</v>
      </c>
      <c r="P51" s="37">
        <f t="shared" si="50"/>
        <v>4.3820669319909253</v>
      </c>
    </row>
    <row r="52" spans="1:23" s="37" customFormat="1">
      <c r="A52" s="37" t="s">
        <v>80</v>
      </c>
      <c r="B52" s="37">
        <f t="shared" ref="B52" si="51">+(B41-B44)/B47</f>
        <v>4.083743842364532</v>
      </c>
      <c r="C52" s="37">
        <f t="shared" ref="C52:D52" si="52">+(C41-C44)/C47</f>
        <v>4.4252873563218387</v>
      </c>
      <c r="D52" s="37">
        <f t="shared" si="52"/>
        <v>5.0178173050199435</v>
      </c>
      <c r="E52" s="37">
        <f t="shared" ref="E52:F52" si="53">+(E41-E44)/E47</f>
        <v>5.4479582688075645</v>
      </c>
      <c r="F52" s="37">
        <f t="shared" si="53"/>
        <v>5.6583762427539757</v>
      </c>
      <c r="G52" s="37">
        <f t="shared" ref="G52:H52" si="54">+(G41-G44)/G47</f>
        <v>4.9011408484116545</v>
      </c>
      <c r="H52" s="37">
        <f t="shared" si="54"/>
        <v>5.1988669590643273</v>
      </c>
      <c r="I52" s="37">
        <f t="shared" ref="I52:J52" si="55">+(I41-I44)/I47</f>
        <v>6.6084817577751034</v>
      </c>
      <c r="J52" s="37">
        <f t="shared" si="55"/>
        <v>5.7648544266191326</v>
      </c>
      <c r="K52" s="37">
        <f t="shared" ref="K52:P52" si="56">+(K41-K44)/K47</f>
        <v>5.3116795096580276</v>
      </c>
      <c r="L52" s="37">
        <f t="shared" si="56"/>
        <v>4.8903283309841639</v>
      </c>
      <c r="M52" s="37">
        <f t="shared" si="56"/>
        <v>4.6686157813171505</v>
      </c>
      <c r="N52" s="37">
        <f t="shared" si="56"/>
        <v>4.8101440286679065</v>
      </c>
      <c r="O52" s="37">
        <f t="shared" si="56"/>
        <v>5.1343283582089549</v>
      </c>
      <c r="P52" s="37">
        <f t="shared" si="56"/>
        <v>4.0639528221894601</v>
      </c>
    </row>
    <row r="53" spans="1:23" s="38" customFormat="1">
      <c r="A53" s="38" t="s">
        <v>81</v>
      </c>
      <c r="B53" s="38">
        <f t="shared" ref="B53" si="57">+B48/B41</f>
        <v>6.477558139534885E-2</v>
      </c>
      <c r="C53" s="38">
        <f t="shared" ref="C53:D53" si="58">+C48/C41</f>
        <v>2.1394904458598721E-2</v>
      </c>
      <c r="D53" s="38">
        <f t="shared" si="58"/>
        <v>6.2095764808615915E-2</v>
      </c>
      <c r="E53" s="38">
        <f t="shared" ref="E53:F53" si="59">+E48/E41</f>
        <v>5.5713165606388247E-2</v>
      </c>
      <c r="F53" s="38">
        <f t="shared" si="59"/>
        <v>1.1882987758801169E-2</v>
      </c>
      <c r="G53" s="38">
        <f t="shared" ref="G53:H53" si="60">+G48/G41</f>
        <v>2.1130552837758918E-2</v>
      </c>
      <c r="H53" s="38">
        <f t="shared" si="60"/>
        <v>-3.442423938677603E-2</v>
      </c>
      <c r="I53" s="38">
        <f t="shared" ref="I53:J53" si="61">+I48/I41</f>
        <v>1.7412621599983011E-2</v>
      </c>
      <c r="J53" s="38">
        <f t="shared" si="61"/>
        <v>2.6358731709245121E-2</v>
      </c>
      <c r="K53" s="38">
        <f t="shared" ref="K53:P53" si="62">+K48/K41</f>
        <v>8.0228094644467203E-4</v>
      </c>
      <c r="L53" s="38">
        <f t="shared" si="62"/>
        <v>-1.6094016450139278E-3</v>
      </c>
      <c r="M53" s="38">
        <f t="shared" si="62"/>
        <v>-5.0033024190219343E-2</v>
      </c>
      <c r="N53" s="38">
        <f t="shared" si="62"/>
        <v>-5.0666189111747841E-2</v>
      </c>
      <c r="O53" s="38">
        <f t="shared" si="62"/>
        <v>7.1525179856115105E-3</v>
      </c>
      <c r="P53" s="38">
        <f t="shared" si="62"/>
        <v>2.6080271662959422E-2</v>
      </c>
    </row>
    <row r="54" spans="1:23" s="38" customFormat="1">
      <c r="A54" s="39" t="s">
        <v>82</v>
      </c>
      <c r="B54" s="40"/>
      <c r="C54" s="40"/>
      <c r="D54" s="40"/>
      <c r="E54" s="40"/>
      <c r="F54" s="40"/>
      <c r="G54" s="40"/>
      <c r="H54" s="40"/>
      <c r="I54" s="40"/>
      <c r="J54" s="40"/>
      <c r="K54" s="40"/>
      <c r="L54" s="40"/>
      <c r="M54" s="40"/>
      <c r="N54" s="40"/>
      <c r="O54" s="40"/>
      <c r="P54" s="40"/>
      <c r="Q54" s="40"/>
      <c r="R54" s="40"/>
      <c r="S54" s="40"/>
      <c r="T54" s="39"/>
      <c r="U54" s="39"/>
      <c r="V54" s="39"/>
      <c r="W54" s="39"/>
    </row>
    <row r="55" spans="1:23" s="38" customFormat="1">
      <c r="A55" s="38" t="s">
        <v>83</v>
      </c>
      <c r="B55" s="41">
        <f t="shared" ref="B55" si="63">IF(B42=0,IF(B54="","","*"&amp;TEXT(B54,"0.0x")),(B41+B42-B44)/B47)</f>
        <v>5.5714285714285712</v>
      </c>
      <c r="C55" s="41">
        <f t="shared" ref="C55:D55" si="64">IF(C42=0,IF(C54="","","*"&amp;TEXT(C54,"0.0x")),(C41+C42-C44)/C47)</f>
        <v>6.0172413793103452</v>
      </c>
      <c r="D55" s="41">
        <f t="shared" si="64"/>
        <v>6.8205800389096298</v>
      </c>
      <c r="E55" s="41">
        <f t="shared" ref="E55:F55" si="65">IF(E42=0,IF(E54="","","*"&amp;TEXT(E54,"0.0x")),(E41+E42-E44)/E47)</f>
        <v>7.4041079142554409</v>
      </c>
      <c r="F55" s="41">
        <f t="shared" si="65"/>
        <v>7.6014443472910393</v>
      </c>
      <c r="G55" s="41">
        <f t="shared" ref="G55:H55" si="66">IF(G42=0,IF(G54="","","*"&amp;TEXT(G54,"0.0x")),(G41+G42-G44)/G47)</f>
        <v>6.6264314520477035</v>
      </c>
      <c r="H55" s="41">
        <f t="shared" si="66"/>
        <v>6.9532529239766081</v>
      </c>
      <c r="I55" s="41">
        <f t="shared" ref="I55:J55" si="67">IF(I42=0,IF(I54="","","*"&amp;TEXT(I54,"0.0x")),(I41+I42-I44)/I47)</f>
        <v>8.8834279647762511</v>
      </c>
      <c r="J55" s="41">
        <f t="shared" si="67"/>
        <v>7.7454446425034664</v>
      </c>
      <c r="K55" s="41">
        <f t="shared" ref="K55:P55" si="68">IF(K42=0,IF(K54="","","*"&amp;TEXT(K54,"0.0x")),(K41+K42-K44)/K47)</f>
        <v>7.0797395058272299</v>
      </c>
      <c r="L55" s="41">
        <f t="shared" si="68"/>
        <v>6.5485656247409008</v>
      </c>
      <c r="M55" s="41">
        <f t="shared" si="68"/>
        <v>6.2313803117715238</v>
      </c>
      <c r="N55" s="41">
        <f t="shared" si="68"/>
        <v>6.4640617462614562</v>
      </c>
      <c r="O55" s="41">
        <f t="shared" si="68"/>
        <v>6.9253731343283578</v>
      </c>
      <c r="P55" s="41" t="str">
        <f t="shared" si="68"/>
        <v/>
      </c>
      <c r="Q55" s="41"/>
      <c r="R55" s="41"/>
      <c r="S55" s="41"/>
      <c r="T55" s="41" t="str">
        <f>IF(T42=0,IF(T54="","",CONCATENATE("* ",T54,"x")),(T41+T42-T44)/T47)</f>
        <v/>
      </c>
      <c r="U55" s="41" t="str">
        <f>IF(U42=0,IF(U54="","",CONCATENATE("* ",U54,"x")),(U41+U42-U44)/U47)</f>
        <v/>
      </c>
      <c r="V55" s="41" t="str">
        <f>IF(V42=0,IF(V54="","",CONCATENATE("* ",V54,"x")),(V41+V42-V44)/V47)</f>
        <v/>
      </c>
      <c r="W55" s="41" t="str">
        <f>IF(W42=0,IF(W54="","",CONCATENATE("* ",W54,"x")),(W41+W42-W44)/W47)</f>
        <v/>
      </c>
    </row>
    <row r="56" spans="1:23">
      <c r="S56" s="42"/>
    </row>
    <row r="57" spans="1:23" ht="80.25" customHeight="1">
      <c r="A57" s="43" t="s">
        <v>84</v>
      </c>
      <c r="B57" s="44" t="s">
        <v>289</v>
      </c>
      <c r="C57" s="44" t="s">
        <v>289</v>
      </c>
      <c r="D57" s="44" t="s">
        <v>289</v>
      </c>
      <c r="E57" s="44" t="s">
        <v>289</v>
      </c>
      <c r="F57" s="44" t="s">
        <v>289</v>
      </c>
      <c r="G57" s="44" t="s">
        <v>289</v>
      </c>
      <c r="H57" s="44" t="s">
        <v>289</v>
      </c>
      <c r="I57" s="44" t="s">
        <v>289</v>
      </c>
      <c r="J57" s="44" t="s">
        <v>90</v>
      </c>
      <c r="K57" s="44" t="s">
        <v>289</v>
      </c>
      <c r="L57" s="44" t="s">
        <v>289</v>
      </c>
      <c r="M57" s="44"/>
      <c r="N57" s="44"/>
      <c r="O57" s="44" t="s">
        <v>90</v>
      </c>
      <c r="P57" s="44"/>
      <c r="Q57" s="44"/>
      <c r="R57" s="44"/>
      <c r="S57" s="44"/>
      <c r="T57" s="44"/>
      <c r="U57" s="44"/>
      <c r="V57" s="44"/>
      <c r="W57" s="44"/>
    </row>
    <row r="58" spans="1:23">
      <c r="A58" s="45"/>
      <c r="B58" s="42"/>
      <c r="C58" s="42"/>
      <c r="D58" s="42"/>
      <c r="E58" s="42"/>
      <c r="F58" s="42"/>
      <c r="G58" s="42"/>
      <c r="H58" s="42"/>
      <c r="I58" s="42"/>
      <c r="J58" s="42"/>
      <c r="K58" s="42"/>
      <c r="L58" s="42"/>
      <c r="M58" s="42"/>
      <c r="N58" s="42"/>
      <c r="O58" s="42"/>
    </row>
    <row r="59" spans="1:23">
      <c r="A59" s="45"/>
    </row>
  </sheetData>
  <pageMargins left="0.7" right="0.7" top="0.75" bottom="0.75" header="0.3" footer="0.3"/>
  <pageSetup orientation="portrait" r:id="rId1"/>
  <ignoredErrors>
    <ignoredError sqref="D46:D50" formulaRange="1"/>
  </ignoredErrors>
  <legacyDrawing r:id="rId2"/>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2:AA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21" width="10.6640625" style="14" customWidth="1"/>
    <col min="22" max="16384" width="9.109375" style="14"/>
  </cols>
  <sheetData>
    <row r="2" spans="1:26">
      <c r="A2" s="13" t="s">
        <v>44</v>
      </c>
      <c r="B2" s="14" t="s">
        <v>245</v>
      </c>
    </row>
    <row r="3" spans="1:26" s="16" customFormat="1">
      <c r="A3" s="15" t="s">
        <v>45</v>
      </c>
      <c r="B3" s="16" t="s">
        <v>246</v>
      </c>
    </row>
    <row r="4" spans="1:26">
      <c r="A4" s="13" t="s">
        <v>2</v>
      </c>
      <c r="B4" s="14" t="s">
        <v>493</v>
      </c>
    </row>
    <row r="5" spans="1:26">
      <c r="A5" s="13" t="s">
        <v>46</v>
      </c>
    </row>
    <row r="6" spans="1:26">
      <c r="A6" s="13" t="s">
        <v>47</v>
      </c>
    </row>
    <row r="7" spans="1:26">
      <c r="A7" s="13" t="s">
        <v>48</v>
      </c>
      <c r="B7" s="14" t="s">
        <v>258</v>
      </c>
    </row>
    <row r="8" spans="1:26">
      <c r="A8" s="13" t="s">
        <v>347</v>
      </c>
      <c r="B8" s="14" t="s">
        <v>367</v>
      </c>
    </row>
    <row r="9" spans="1:26">
      <c r="A9" s="17"/>
    </row>
    <row r="10" spans="1:26">
      <c r="A10" s="17" t="s">
        <v>49</v>
      </c>
      <c r="B10" s="18">
        <v>44286</v>
      </c>
      <c r="C10" s="18">
        <v>44196</v>
      </c>
      <c r="D10" s="18">
        <v>44104</v>
      </c>
      <c r="E10" s="18">
        <v>44012</v>
      </c>
      <c r="F10" s="18">
        <v>43921</v>
      </c>
      <c r="G10" s="18">
        <v>43830</v>
      </c>
      <c r="H10" s="18">
        <v>43738</v>
      </c>
      <c r="I10" s="18">
        <v>43646</v>
      </c>
      <c r="J10" s="18">
        <v>43555</v>
      </c>
      <c r="K10" s="18">
        <v>43465</v>
      </c>
      <c r="L10" s="18">
        <v>43373</v>
      </c>
      <c r="M10" s="18">
        <v>43281</v>
      </c>
      <c r="N10" s="18">
        <v>43190</v>
      </c>
      <c r="O10" s="18">
        <f>EOMONTH(N10,-3)</f>
        <v>43100</v>
      </c>
      <c r="P10" s="18">
        <f t="shared" ref="P10:U10" si="0">EOMONTH(O10,-3)</f>
        <v>43008</v>
      </c>
      <c r="Q10" s="18">
        <f t="shared" si="0"/>
        <v>42916</v>
      </c>
      <c r="R10" s="18">
        <f t="shared" si="0"/>
        <v>42825</v>
      </c>
      <c r="S10" s="18">
        <f t="shared" si="0"/>
        <v>42735</v>
      </c>
      <c r="T10" s="18">
        <f t="shared" si="0"/>
        <v>42643</v>
      </c>
      <c r="U10" s="18">
        <f t="shared" si="0"/>
        <v>42551</v>
      </c>
    </row>
    <row r="11" spans="1:26">
      <c r="B11" s="33"/>
      <c r="C11" s="33"/>
      <c r="D11" s="33"/>
      <c r="E11" s="33"/>
      <c r="F11" s="33"/>
      <c r="G11" s="33"/>
      <c r="H11" s="33"/>
    </row>
    <row r="12" spans="1:26">
      <c r="A12" s="19" t="s">
        <v>50</v>
      </c>
      <c r="B12" s="20">
        <v>22.477</v>
      </c>
      <c r="C12" s="20">
        <v>20.620999999999999</v>
      </c>
      <c r="D12" s="20">
        <v>20.721</v>
      </c>
      <c r="E12" s="20">
        <v>13.972</v>
      </c>
      <c r="F12" s="20">
        <v>26.073</v>
      </c>
      <c r="G12" s="20">
        <v>26.222999999999999</v>
      </c>
      <c r="H12" s="20">
        <v>26.366</v>
      </c>
      <c r="I12" s="20">
        <v>16.212</v>
      </c>
      <c r="J12" s="20">
        <v>25.937999999999999</v>
      </c>
      <c r="K12" s="20">
        <v>21.024999999999999</v>
      </c>
      <c r="L12" s="20">
        <v>31.613</v>
      </c>
      <c r="M12" s="20">
        <f>9.944*3</f>
        <v>29.832000000000001</v>
      </c>
      <c r="N12" s="20">
        <v>32.623965705174307</v>
      </c>
      <c r="O12" s="20">
        <v>27.879906690000002</v>
      </c>
      <c r="P12" s="20">
        <v>38.454936600000003</v>
      </c>
      <c r="Q12" s="20">
        <v>24.161314050000001</v>
      </c>
      <c r="R12" s="20">
        <v>15.677421259999996</v>
      </c>
      <c r="S12" s="20">
        <v>14.939241309999977</v>
      </c>
      <c r="T12" s="20">
        <v>38.86203098</v>
      </c>
      <c r="U12" s="20">
        <v>27.409175690000005</v>
      </c>
      <c r="V12" s="98"/>
      <c r="Z12" s="14" t="s">
        <v>314</v>
      </c>
    </row>
    <row r="13" spans="1:26" s="21" customFormat="1">
      <c r="A13" s="21" t="s">
        <v>51</v>
      </c>
      <c r="B13" s="21">
        <f t="shared" ref="B13:K13" si="1">+B12/F12-1</f>
        <v>-0.13792045410961529</v>
      </c>
      <c r="C13" s="21">
        <f t="shared" si="1"/>
        <v>-0.21362925675933342</v>
      </c>
      <c r="D13" s="21">
        <f t="shared" si="1"/>
        <v>-0.21410149434878256</v>
      </c>
      <c r="E13" s="21">
        <f t="shared" si="1"/>
        <v>-0.13816925734024177</v>
      </c>
      <c r="F13" s="21">
        <f t="shared" si="1"/>
        <v>5.2047189451769338E-3</v>
      </c>
      <c r="G13" s="21">
        <f t="shared" si="1"/>
        <v>0.24722948870392392</v>
      </c>
      <c r="H13" s="21">
        <f t="shared" si="1"/>
        <v>-0.16597602252238008</v>
      </c>
      <c r="I13" s="21">
        <f t="shared" si="1"/>
        <v>-0.45655671761866456</v>
      </c>
      <c r="J13" s="21">
        <f t="shared" si="1"/>
        <v>-0.20494031184301675</v>
      </c>
      <c r="K13" s="21">
        <f t="shared" si="1"/>
        <v>-0.24587265539374026</v>
      </c>
      <c r="L13" s="21">
        <f t="shared" ref="L13:Q13" si="2">+L12/P12-1</f>
        <v>-0.17792089143634171</v>
      </c>
      <c r="M13" s="21">
        <f t="shared" si="2"/>
        <v>0.23470105716373491</v>
      </c>
      <c r="N13" s="21">
        <f t="shared" si="2"/>
        <v>1.0809522920974515</v>
      </c>
      <c r="O13" s="21">
        <f t="shared" si="2"/>
        <v>0.86621971701721212</v>
      </c>
      <c r="P13" s="21">
        <f t="shared" si="2"/>
        <v>-1.0475375829160916E-2</v>
      </c>
      <c r="Q13" s="21">
        <f t="shared" si="2"/>
        <v>-0.11849541470103231</v>
      </c>
    </row>
    <row r="14" spans="1:26"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t="s">
        <v>3</v>
      </c>
      <c r="P14" s="23" t="s">
        <v>3</v>
      </c>
      <c r="Q14" s="23" t="s">
        <v>3</v>
      </c>
      <c r="R14" s="22"/>
      <c r="S14" s="22"/>
      <c r="T14" s="22"/>
      <c r="U14" s="22"/>
    </row>
    <row r="15" spans="1:26">
      <c r="W15" s="17"/>
    </row>
    <row r="16" spans="1:26" s="17" customFormat="1">
      <c r="A16" s="25" t="s">
        <v>53</v>
      </c>
      <c r="B16" s="26">
        <v>7.8819999999999997</v>
      </c>
      <c r="C16" s="26">
        <v>3.0649999999999999</v>
      </c>
      <c r="D16" s="26">
        <v>8.7539999999999996</v>
      </c>
      <c r="E16" s="26">
        <v>8.2379999999999995</v>
      </c>
      <c r="F16" s="26">
        <v>12.603</v>
      </c>
      <c r="G16" s="26">
        <v>10.691000000000001</v>
      </c>
      <c r="H16" s="26">
        <v>12.817</v>
      </c>
      <c r="I16" s="26">
        <v>-4.1680000000000001</v>
      </c>
      <c r="J16" s="26">
        <v>15.268000000000001</v>
      </c>
      <c r="K16" s="26">
        <v>8.6890000000000001</v>
      </c>
      <c r="L16" s="26">
        <v>20.556000000000001</v>
      </c>
      <c r="M16" s="26"/>
      <c r="N16" s="26">
        <v>29.392966364596813</v>
      </c>
      <c r="O16" s="26">
        <v>23.709265130000006</v>
      </c>
      <c r="P16" s="26">
        <v>35.189288999999995</v>
      </c>
      <c r="Q16" s="26">
        <v>21.119449270000004</v>
      </c>
      <c r="R16" s="26">
        <v>12.023272169999993</v>
      </c>
      <c r="S16" s="26">
        <v>10.748996989999975</v>
      </c>
      <c r="T16" s="26">
        <v>36.112780830000005</v>
      </c>
      <c r="U16" s="26">
        <v>25.040401240000001</v>
      </c>
      <c r="V16" s="98"/>
      <c r="W16" s="14"/>
    </row>
    <row r="17" spans="1:21" s="21" customFormat="1">
      <c r="A17" s="21" t="s">
        <v>54</v>
      </c>
      <c r="B17" s="21">
        <f t="shared" ref="B17" si="3">+B16/B12</f>
        <v>0.35066957334163812</v>
      </c>
      <c r="C17" s="21">
        <f t="shared" ref="C17:D17" si="4">+C16/C12</f>
        <v>0.14863488676591824</v>
      </c>
      <c r="D17" s="21">
        <f t="shared" si="4"/>
        <v>0.42246995801360937</v>
      </c>
      <c r="E17" s="21">
        <f t="shared" ref="E17:F17" si="5">+E16/E12</f>
        <v>0.58960778700257654</v>
      </c>
      <c r="F17" s="21">
        <f t="shared" si="5"/>
        <v>0.48337360487861003</v>
      </c>
      <c r="G17" s="21">
        <f t="shared" ref="G17:L17" si="6">+G16/G12</f>
        <v>0.40769553445448659</v>
      </c>
      <c r="H17" s="21">
        <f t="shared" si="6"/>
        <v>0.48611848592884777</v>
      </c>
      <c r="I17" s="21">
        <f t="shared" si="6"/>
        <v>-0.25709351097952138</v>
      </c>
      <c r="J17" s="21">
        <f t="shared" si="6"/>
        <v>0.58863443596268028</v>
      </c>
      <c r="K17" s="21">
        <f t="shared" si="6"/>
        <v>0.41326991676575509</v>
      </c>
      <c r="L17" s="21">
        <f t="shared" si="6"/>
        <v>0.65023882579951287</v>
      </c>
      <c r="N17" s="21">
        <f>+N16/N12</f>
        <v>0.90096239771166009</v>
      </c>
      <c r="O17" s="21">
        <f t="shared" ref="O17:U17" si="7">+O16/O12</f>
        <v>0.85040690392640639</v>
      </c>
      <c r="P17" s="21">
        <f t="shared" si="7"/>
        <v>0.91507858577512236</v>
      </c>
      <c r="Q17" s="21">
        <f t="shared" si="7"/>
        <v>0.87410184836366556</v>
      </c>
      <c r="R17" s="21">
        <f t="shared" si="7"/>
        <v>0.76691644439488615</v>
      </c>
      <c r="S17" s="21">
        <f t="shared" si="7"/>
        <v>0.71951424887988447</v>
      </c>
      <c r="T17" s="21">
        <f t="shared" si="7"/>
        <v>0.92925613817211783</v>
      </c>
      <c r="U17" s="21">
        <f t="shared" si="7"/>
        <v>0.91357731889528404</v>
      </c>
    </row>
    <row r="18" spans="1:21" s="24" customFormat="1"/>
    <row r="19" spans="1:21" s="24" customFormat="1">
      <c r="A19" s="19" t="s">
        <v>55</v>
      </c>
      <c r="B19" s="20">
        <v>0</v>
      </c>
      <c r="C19" s="20">
        <v>0</v>
      </c>
      <c r="D19" s="20">
        <v>0</v>
      </c>
      <c r="E19" s="20">
        <v>0</v>
      </c>
      <c r="F19" s="20">
        <v>0</v>
      </c>
      <c r="G19" s="20">
        <v>0</v>
      </c>
      <c r="H19" s="20">
        <v>0</v>
      </c>
      <c r="I19" s="20">
        <v>0</v>
      </c>
      <c r="J19" s="20">
        <v>0</v>
      </c>
      <c r="K19" s="20">
        <v>0</v>
      </c>
      <c r="L19" s="20">
        <v>0</v>
      </c>
      <c r="M19" s="20"/>
      <c r="N19" s="20">
        <v>0</v>
      </c>
      <c r="O19" s="20">
        <v>0</v>
      </c>
      <c r="P19" s="20">
        <v>0</v>
      </c>
      <c r="Q19" s="20">
        <v>0</v>
      </c>
      <c r="R19" s="20">
        <v>0</v>
      </c>
      <c r="S19" s="20">
        <v>0</v>
      </c>
      <c r="T19" s="20">
        <v>0</v>
      </c>
      <c r="U19" s="20">
        <v>0</v>
      </c>
    </row>
    <row r="20" spans="1:21" s="24" customFormat="1">
      <c r="A20" s="19" t="s">
        <v>56</v>
      </c>
      <c r="B20" s="20">
        <v>0</v>
      </c>
      <c r="C20" s="20">
        <v>0</v>
      </c>
      <c r="D20" s="20">
        <v>0</v>
      </c>
      <c r="E20" s="20">
        <v>0</v>
      </c>
      <c r="F20" s="20">
        <v>0</v>
      </c>
      <c r="G20" s="20">
        <v>0</v>
      </c>
      <c r="H20" s="20">
        <v>0</v>
      </c>
      <c r="I20" s="20">
        <v>0</v>
      </c>
      <c r="J20" s="20">
        <v>0</v>
      </c>
      <c r="K20" s="20">
        <v>0</v>
      </c>
      <c r="L20" s="20">
        <v>0</v>
      </c>
      <c r="M20" s="20"/>
      <c r="N20" s="20">
        <v>0</v>
      </c>
      <c r="O20" s="20">
        <v>0</v>
      </c>
      <c r="P20" s="20">
        <v>0</v>
      </c>
      <c r="Q20" s="20">
        <v>0</v>
      </c>
      <c r="R20" s="20">
        <v>0</v>
      </c>
      <c r="S20" s="20">
        <v>0</v>
      </c>
      <c r="T20" s="20">
        <v>0</v>
      </c>
      <c r="U20" s="20">
        <v>0</v>
      </c>
    </row>
    <row r="21" spans="1:21" s="24" customFormat="1">
      <c r="A21" s="19" t="s">
        <v>57</v>
      </c>
      <c r="B21" s="20">
        <f>B22-B16-B19-B20</f>
        <v>5.4730000000000008</v>
      </c>
      <c r="C21" s="20">
        <v>8.07</v>
      </c>
      <c r="D21" s="20">
        <v>3.0659999999999998</v>
      </c>
      <c r="E21" s="20">
        <f>11.17-E20-E19-E16</f>
        <v>2.9320000000000004</v>
      </c>
      <c r="F21" s="20">
        <f>16-F20-F19-F16</f>
        <v>3.3970000000000002</v>
      </c>
      <c r="G21" s="20">
        <f>14.622-G20-G19-G16</f>
        <v>3.9309999999999992</v>
      </c>
      <c r="H21" s="20">
        <f>15.319-H20-H19-H16</f>
        <v>2.5020000000000007</v>
      </c>
      <c r="I21" s="20">
        <f>5.493-I16</f>
        <v>9.6610000000000014</v>
      </c>
      <c r="J21" s="20">
        <f>18.146-15.268</f>
        <v>2.8780000000000001</v>
      </c>
      <c r="K21" s="20">
        <f>11.98-8.689</f>
        <v>3.2910000000000004</v>
      </c>
      <c r="L21" s="20">
        <f>23.26-20.556</f>
        <v>2.7040000000000006</v>
      </c>
      <c r="M21" s="20"/>
      <c r="N21" s="20">
        <v>0</v>
      </c>
      <c r="O21" s="20">
        <v>0</v>
      </c>
      <c r="P21" s="20">
        <v>0</v>
      </c>
      <c r="Q21" s="20">
        <v>0</v>
      </c>
      <c r="R21" s="20">
        <v>0</v>
      </c>
      <c r="S21" s="20">
        <v>0</v>
      </c>
      <c r="T21" s="20">
        <v>0</v>
      </c>
      <c r="U21" s="20">
        <v>0</v>
      </c>
    </row>
    <row r="22" spans="1:21" s="17" customFormat="1">
      <c r="A22" s="17" t="s">
        <v>58</v>
      </c>
      <c r="B22" s="27">
        <v>13.355</v>
      </c>
      <c r="C22" s="27">
        <v>11.135</v>
      </c>
      <c r="D22" s="27">
        <f t="shared" ref="D22" si="8">SUM(D16,D19:D21)</f>
        <v>11.82</v>
      </c>
      <c r="E22" s="27">
        <f t="shared" ref="E22:L22" si="9">SUM(E16,E19:E21)</f>
        <v>11.17</v>
      </c>
      <c r="F22" s="27">
        <f t="shared" si="9"/>
        <v>16</v>
      </c>
      <c r="G22" s="27">
        <f t="shared" si="9"/>
        <v>14.622</v>
      </c>
      <c r="H22" s="27">
        <f t="shared" si="9"/>
        <v>15.319000000000001</v>
      </c>
      <c r="I22" s="27">
        <f t="shared" si="9"/>
        <v>5.4930000000000012</v>
      </c>
      <c r="J22" s="27">
        <f t="shared" si="9"/>
        <v>18.146000000000001</v>
      </c>
      <c r="K22" s="27">
        <f t="shared" si="9"/>
        <v>11.98</v>
      </c>
      <c r="L22" s="27">
        <f t="shared" si="9"/>
        <v>23.26</v>
      </c>
      <c r="M22" s="46">
        <v>34.537999999999997</v>
      </c>
      <c r="N22" s="27">
        <f>SUM(N16,N19:N21)</f>
        <v>29.392966364596813</v>
      </c>
      <c r="O22" s="27">
        <f t="shared" ref="O22:U22" si="10">SUM(O16,O19:O21)</f>
        <v>23.709265130000006</v>
      </c>
      <c r="P22" s="27">
        <f t="shared" si="10"/>
        <v>35.189288999999995</v>
      </c>
      <c r="Q22" s="27">
        <f t="shared" si="10"/>
        <v>21.119449270000004</v>
      </c>
      <c r="R22" s="27">
        <f t="shared" si="10"/>
        <v>12.023272169999993</v>
      </c>
      <c r="S22" s="27">
        <f t="shared" si="10"/>
        <v>10.748996989999975</v>
      </c>
      <c r="T22" s="27">
        <f t="shared" si="10"/>
        <v>36.112780830000005</v>
      </c>
      <c r="U22" s="27">
        <f t="shared" si="10"/>
        <v>25.040401240000001</v>
      </c>
    </row>
    <row r="23" spans="1:21" s="17" customFormat="1">
      <c r="B23" s="21"/>
      <c r="C23" s="21"/>
      <c r="D23" s="21"/>
      <c r="E23" s="21"/>
      <c r="F23" s="21"/>
      <c r="G23" s="21"/>
      <c r="H23" s="21"/>
      <c r="I23" s="21"/>
      <c r="J23" s="21"/>
      <c r="K23" s="21"/>
      <c r="L23" s="21"/>
      <c r="M23" s="21"/>
      <c r="N23" s="21"/>
      <c r="O23" s="21"/>
      <c r="P23" s="21"/>
      <c r="Q23" s="21"/>
      <c r="R23" s="27"/>
      <c r="S23" s="27"/>
      <c r="T23" s="27"/>
      <c r="U23" s="27"/>
    </row>
    <row r="24" spans="1:21" s="17" customFormat="1">
      <c r="A24" s="17" t="s">
        <v>59</v>
      </c>
      <c r="B24" s="27">
        <f t="shared" ref="B24:R24" si="11">SUM(B22:E22)</f>
        <v>47.480000000000004</v>
      </c>
      <c r="C24" s="27">
        <f t="shared" si="11"/>
        <v>50.125</v>
      </c>
      <c r="D24" s="27">
        <f t="shared" si="11"/>
        <v>53.612000000000002</v>
      </c>
      <c r="E24" s="27">
        <f t="shared" si="11"/>
        <v>57.111000000000004</v>
      </c>
      <c r="F24" s="27">
        <f t="shared" si="11"/>
        <v>51.434000000000005</v>
      </c>
      <c r="G24" s="27">
        <f t="shared" si="11"/>
        <v>53.580000000000005</v>
      </c>
      <c r="H24" s="27">
        <f t="shared" si="11"/>
        <v>50.938000000000002</v>
      </c>
      <c r="I24" s="27">
        <f t="shared" si="11"/>
        <v>58.879000000000005</v>
      </c>
      <c r="J24" s="27">
        <f t="shared" si="11"/>
        <v>87.924000000000007</v>
      </c>
      <c r="K24" s="27">
        <f t="shared" si="11"/>
        <v>99.170966364596808</v>
      </c>
      <c r="L24" s="27">
        <f t="shared" si="11"/>
        <v>110.90023149459682</v>
      </c>
      <c r="M24" s="27">
        <f t="shared" si="11"/>
        <v>122.82952049459681</v>
      </c>
      <c r="N24" s="27">
        <f t="shared" si="11"/>
        <v>109.41096976459683</v>
      </c>
      <c r="O24" s="27">
        <f t="shared" si="11"/>
        <v>92.041275569999996</v>
      </c>
      <c r="P24" s="27">
        <f t="shared" si="11"/>
        <v>79.081007429999971</v>
      </c>
      <c r="Q24" s="27">
        <f t="shared" si="11"/>
        <v>80.004499259999974</v>
      </c>
      <c r="R24" s="27">
        <f t="shared" si="11"/>
        <v>83.925451229999965</v>
      </c>
      <c r="S24" s="27"/>
      <c r="T24" s="27"/>
      <c r="U24" s="27"/>
    </row>
    <row r="25" spans="1:21" s="24" customFormat="1">
      <c r="A25" s="19" t="s">
        <v>60</v>
      </c>
      <c r="B25" s="28">
        <v>0</v>
      </c>
      <c r="C25" s="28">
        <v>0</v>
      </c>
      <c r="D25" s="28">
        <v>0</v>
      </c>
      <c r="E25" s="28">
        <v>0</v>
      </c>
      <c r="F25" s="28">
        <f>50.894-F24</f>
        <v>-0.54000000000000625</v>
      </c>
      <c r="G25" s="28">
        <v>0</v>
      </c>
      <c r="H25" s="28">
        <f>52.302364-H24</f>
        <v>1.3643639999999948</v>
      </c>
      <c r="I25" s="28">
        <f>59.386-I24</f>
        <v>0.5069999999999979</v>
      </c>
      <c r="J25" s="28">
        <f>110.4-J24</f>
        <v>22.475999999999999</v>
      </c>
      <c r="K25" s="28">
        <f>133.4-K24</f>
        <v>34.229033635403198</v>
      </c>
      <c r="L25" s="28">
        <v>0</v>
      </c>
      <c r="M25" s="28">
        <v>0</v>
      </c>
      <c r="N25" s="28">
        <v>0</v>
      </c>
      <c r="O25" s="28">
        <v>0</v>
      </c>
      <c r="P25" s="28">
        <v>0</v>
      </c>
      <c r="Q25" s="28">
        <v>0</v>
      </c>
      <c r="R25" s="28">
        <v>0</v>
      </c>
      <c r="S25" s="28"/>
      <c r="T25" s="28"/>
      <c r="U25" s="28"/>
    </row>
    <row r="26" spans="1:21" s="24" customFormat="1">
      <c r="A26" s="19" t="s">
        <v>61</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v>0</v>
      </c>
      <c r="S26" s="30"/>
      <c r="T26" s="30"/>
      <c r="U26" s="30"/>
    </row>
    <row r="27" spans="1:21" s="32" customFormat="1">
      <c r="A27" s="17" t="s">
        <v>62</v>
      </c>
      <c r="B27" s="27">
        <f t="shared" ref="B27" si="12">SUM(B24:B26)</f>
        <v>47.480000000000004</v>
      </c>
      <c r="C27" s="27">
        <f t="shared" ref="C27:D27" si="13">SUM(C24:C26)</f>
        <v>50.125</v>
      </c>
      <c r="D27" s="27">
        <f t="shared" si="13"/>
        <v>53.612000000000002</v>
      </c>
      <c r="E27" s="27">
        <f t="shared" ref="E27:F27" si="14">SUM(E24:E26)</f>
        <v>57.111000000000004</v>
      </c>
      <c r="F27" s="27">
        <f t="shared" si="14"/>
        <v>50.893999999999998</v>
      </c>
      <c r="G27" s="27">
        <f t="shared" ref="G27:I27" si="15">SUM(G24:G26)</f>
        <v>53.580000000000005</v>
      </c>
      <c r="H27" s="27">
        <f t="shared" si="15"/>
        <v>52.302363999999997</v>
      </c>
      <c r="I27" s="27">
        <f t="shared" si="15"/>
        <v>59.386000000000003</v>
      </c>
      <c r="J27" s="27">
        <f t="shared" ref="J27:K27" si="16">SUM(J24:J26)</f>
        <v>110.4</v>
      </c>
      <c r="K27" s="27">
        <f t="shared" si="16"/>
        <v>133.4</v>
      </c>
      <c r="L27" s="27">
        <f t="shared" ref="L27:R27" si="17">SUM(L24:L26)</f>
        <v>110.90023149459682</v>
      </c>
      <c r="M27" s="27">
        <f t="shared" si="17"/>
        <v>122.82952049459681</v>
      </c>
      <c r="N27" s="27">
        <f t="shared" si="17"/>
        <v>109.41096976459683</v>
      </c>
      <c r="O27" s="27">
        <f t="shared" si="17"/>
        <v>92.041275569999996</v>
      </c>
      <c r="P27" s="27">
        <f t="shared" si="17"/>
        <v>79.081007429999971</v>
      </c>
      <c r="Q27" s="27">
        <f t="shared" si="17"/>
        <v>80.004499259999974</v>
      </c>
      <c r="R27" s="27">
        <f t="shared" si="17"/>
        <v>83.925451229999965</v>
      </c>
      <c r="S27" s="31"/>
      <c r="T27" s="31"/>
      <c r="U27" s="31"/>
    </row>
    <row r="28" spans="1:21" s="24" customFormat="1"/>
    <row r="29" spans="1:21" s="17" customFormat="1">
      <c r="A29" s="17" t="s">
        <v>58</v>
      </c>
      <c r="B29" s="27">
        <f t="shared" ref="B29" si="18">B22</f>
        <v>13.355</v>
      </c>
      <c r="C29" s="27">
        <f t="shared" ref="C29:D29" si="19">C22</f>
        <v>11.135</v>
      </c>
      <c r="D29" s="27">
        <f t="shared" si="19"/>
        <v>11.82</v>
      </c>
      <c r="E29" s="27">
        <f t="shared" ref="E29:F29" si="20">E22</f>
        <v>11.17</v>
      </c>
      <c r="F29" s="27">
        <f t="shared" si="20"/>
        <v>16</v>
      </c>
      <c r="G29" s="27">
        <f t="shared" ref="G29:I29" si="21">G22</f>
        <v>14.622</v>
      </c>
      <c r="H29" s="27">
        <f t="shared" si="21"/>
        <v>15.319000000000001</v>
      </c>
      <c r="I29" s="27">
        <f t="shared" si="21"/>
        <v>5.4930000000000012</v>
      </c>
      <c r="J29" s="27">
        <f t="shared" ref="J29:M29" si="22">J22</f>
        <v>18.146000000000001</v>
      </c>
      <c r="K29" s="27">
        <f t="shared" si="22"/>
        <v>11.98</v>
      </c>
      <c r="L29" s="27">
        <f t="shared" si="22"/>
        <v>23.26</v>
      </c>
      <c r="M29" s="27">
        <f t="shared" si="22"/>
        <v>34.537999999999997</v>
      </c>
      <c r="N29" s="27"/>
      <c r="O29" s="27"/>
      <c r="P29" s="27"/>
      <c r="Q29" s="27"/>
      <c r="R29" s="27"/>
      <c r="S29" s="27"/>
      <c r="T29" s="27"/>
      <c r="U29" s="27"/>
    </row>
    <row r="30" spans="1:21" s="33" customFormat="1">
      <c r="A30" s="20" t="s">
        <v>63</v>
      </c>
      <c r="B30" s="20">
        <v>-5.8239999999999998</v>
      </c>
      <c r="C30" s="20">
        <v>-6.1230000000000002</v>
      </c>
      <c r="D30" s="20">
        <v>-6.202</v>
      </c>
      <c r="E30" s="20">
        <v>-1.093</v>
      </c>
      <c r="F30" s="20">
        <v>-6.9569999999999999</v>
      </c>
      <c r="G30" s="20">
        <v>-7.8019999999999996</v>
      </c>
      <c r="H30" s="20">
        <v>-8.5429999999999993</v>
      </c>
      <c r="I30" s="20">
        <f>-17.136-J30</f>
        <v>-8.59</v>
      </c>
      <c r="J30" s="20">
        <v>-8.5459999999999994</v>
      </c>
      <c r="K30" s="20">
        <v>-7.9939999999999998</v>
      </c>
      <c r="L30" s="20">
        <v>-7.1719999999999997</v>
      </c>
      <c r="M30" s="20">
        <f>-9.409-L30</f>
        <v>-2.237000000000001</v>
      </c>
      <c r="N30" s="20"/>
      <c r="O30" s="20"/>
      <c r="P30" s="20"/>
      <c r="Q30" s="20"/>
      <c r="R30" s="20"/>
      <c r="S30" s="20"/>
      <c r="T30" s="20"/>
      <c r="U30" s="20"/>
    </row>
    <row r="31" spans="1:21" s="33" customFormat="1">
      <c r="A31" s="20" t="s">
        <v>64</v>
      </c>
      <c r="B31" s="20">
        <v>0</v>
      </c>
      <c r="C31" s="20">
        <v>0</v>
      </c>
      <c r="D31" s="20">
        <v>0</v>
      </c>
      <c r="E31" s="20">
        <v>0</v>
      </c>
      <c r="F31" s="20">
        <v>0</v>
      </c>
      <c r="G31" s="20">
        <v>0</v>
      </c>
      <c r="H31" s="20">
        <v>0</v>
      </c>
      <c r="I31" s="20">
        <v>0</v>
      </c>
      <c r="J31" s="20">
        <v>0</v>
      </c>
      <c r="K31" s="20">
        <v>0</v>
      </c>
      <c r="L31" s="20">
        <v>0</v>
      </c>
      <c r="M31" s="20">
        <v>0</v>
      </c>
      <c r="N31" s="20"/>
      <c r="O31" s="20"/>
      <c r="P31" s="20"/>
      <c r="Q31" s="20"/>
      <c r="R31" s="20"/>
      <c r="S31" s="20"/>
      <c r="T31" s="20"/>
      <c r="U31" s="20"/>
    </row>
    <row r="32" spans="1:21" s="33" customFormat="1">
      <c r="A32" s="20" t="s">
        <v>65</v>
      </c>
      <c r="B32" s="20">
        <v>-0.27200000000000002</v>
      </c>
      <c r="C32" s="20">
        <v>-0.27400000000000002</v>
      </c>
      <c r="D32" s="20">
        <v>-0.27400000000000002</v>
      </c>
      <c r="E32" s="20"/>
      <c r="F32" s="20">
        <f>2.145+0.722-0.076+0.335-1.25+0.01-3.513-9</f>
        <v>-10.627000000000001</v>
      </c>
      <c r="G32" s="20">
        <v>-0.154</v>
      </c>
      <c r="H32" s="20">
        <f>-3.676+0.11-0.183+0.139-1.25+0.018-0.166-1.023</f>
        <v>-6.0310000000000006</v>
      </c>
      <c r="I32" s="20">
        <f>2.681+0.471-0.309-0.63+0.029+1.969+0.165-J32</f>
        <v>5.1800000000000006</v>
      </c>
      <c r="J32" s="20">
        <f>-0.093+0.186-0.229+0.378-1.25+0.042-0.007+0.169</f>
        <v>-0.80399999999999994</v>
      </c>
      <c r="K32" s="20"/>
      <c r="L32" s="20">
        <f>0.197+0.064-0.126-0.101-0.074-0.127+0.149+0.986</f>
        <v>0.96799999999999997</v>
      </c>
      <c r="M32" s="20">
        <f>-15.689-0.064-1.553+0.107+14.315</f>
        <v>-2.8840000000000021</v>
      </c>
      <c r="N32" s="20"/>
      <c r="O32" s="20"/>
      <c r="P32" s="20"/>
      <c r="Q32" s="20"/>
      <c r="R32" s="20"/>
      <c r="S32" s="20"/>
      <c r="T32" s="20"/>
      <c r="U32" s="20"/>
    </row>
    <row r="33" spans="1:27" s="33" customFormat="1">
      <c r="A33" s="20" t="s">
        <v>66</v>
      </c>
      <c r="B33" s="20">
        <v>0</v>
      </c>
      <c r="C33" s="20">
        <v>0</v>
      </c>
      <c r="D33" s="20">
        <v>0</v>
      </c>
      <c r="E33" s="20">
        <v>0</v>
      </c>
      <c r="F33" s="20">
        <v>0</v>
      </c>
      <c r="G33" s="20">
        <v>0</v>
      </c>
      <c r="H33" s="20">
        <v>0</v>
      </c>
      <c r="I33" s="20">
        <v>0</v>
      </c>
      <c r="J33" s="20">
        <v>0</v>
      </c>
      <c r="K33" s="20">
        <v>0</v>
      </c>
      <c r="L33" s="20">
        <v>0</v>
      </c>
      <c r="M33" s="20">
        <v>0</v>
      </c>
      <c r="N33" s="20"/>
      <c r="O33" s="20"/>
      <c r="P33" s="20"/>
      <c r="Q33" s="20"/>
      <c r="R33" s="20"/>
      <c r="S33" s="20"/>
      <c r="T33" s="20"/>
      <c r="U33" s="20"/>
    </row>
    <row r="34" spans="1:27" s="33" customFormat="1">
      <c r="A34" s="20" t="s">
        <v>57</v>
      </c>
      <c r="B34" s="29">
        <v>0</v>
      </c>
      <c r="C34" s="29">
        <v>0</v>
      </c>
      <c r="D34" s="29">
        <v>0</v>
      </c>
      <c r="E34" s="29">
        <v>0</v>
      </c>
      <c r="F34" s="29">
        <v>0</v>
      </c>
      <c r="G34" s="29">
        <v>0</v>
      </c>
      <c r="H34" s="29">
        <v>0</v>
      </c>
      <c r="I34" s="29">
        <v>0</v>
      </c>
      <c r="J34" s="29">
        <v>0</v>
      </c>
      <c r="K34" s="29">
        <v>0</v>
      </c>
      <c r="L34" s="29">
        <v>0</v>
      </c>
      <c r="M34" s="29">
        <v>0</v>
      </c>
      <c r="N34" s="29"/>
      <c r="O34" s="29"/>
      <c r="P34" s="29"/>
      <c r="Q34" s="29"/>
      <c r="R34" s="29"/>
      <c r="S34" s="29"/>
      <c r="T34" s="29"/>
      <c r="U34" s="29"/>
    </row>
    <row r="35" spans="1:27" s="27" customFormat="1">
      <c r="A35" s="27" t="s">
        <v>67</v>
      </c>
      <c r="B35" s="27">
        <f>B37+B36</f>
        <v>-2.8490000000000002</v>
      </c>
      <c r="C35" s="27">
        <f>C37+C36</f>
        <v>-2.4900000000000002</v>
      </c>
      <c r="D35" s="27">
        <f>D37+D36</f>
        <v>3.9870000000000001</v>
      </c>
      <c r="E35" s="27">
        <f>E37+E36</f>
        <v>7.6669999999999998</v>
      </c>
      <c r="F35" s="27">
        <f>F37+F36</f>
        <v>-5.6970000000000001</v>
      </c>
      <c r="G35" s="27">
        <f>G37-G36</f>
        <v>15.523</v>
      </c>
      <c r="H35" s="27">
        <v>-3.4969999999999999</v>
      </c>
      <c r="I35" s="27">
        <f>-4.944-J35</f>
        <v>-9.17</v>
      </c>
      <c r="J35" s="27">
        <v>4.226</v>
      </c>
      <c r="L35" s="27">
        <v>11.131</v>
      </c>
      <c r="M35" s="27">
        <v>0.61099999999999999</v>
      </c>
    </row>
    <row r="36" spans="1:27" s="33" customFormat="1">
      <c r="A36" s="20" t="s">
        <v>68</v>
      </c>
      <c r="B36" s="29">
        <v>-0.14499999999999999</v>
      </c>
      <c r="C36" s="29">
        <v>-0.22800000000000001</v>
      </c>
      <c r="D36" s="29">
        <v>-2.9000000000000001E-2</v>
      </c>
      <c r="E36" s="29">
        <v>-0.17499999999999999</v>
      </c>
      <c r="F36" s="29">
        <v>-0.316</v>
      </c>
      <c r="G36" s="29">
        <v>-0.28799999999999998</v>
      </c>
      <c r="H36" s="29">
        <v>-0.183</v>
      </c>
      <c r="I36" s="29">
        <f>-0.856-J36</f>
        <v>-0.59899999999999998</v>
      </c>
      <c r="J36" s="29">
        <v>-0.25700000000000001</v>
      </c>
      <c r="K36" s="29"/>
      <c r="L36" s="29">
        <v>-0.41799999999999998</v>
      </c>
      <c r="M36" s="29">
        <v>0</v>
      </c>
      <c r="N36" s="29"/>
      <c r="O36" s="29"/>
      <c r="P36" s="29"/>
      <c r="Q36" s="29"/>
      <c r="R36" s="29"/>
      <c r="S36" s="29"/>
      <c r="T36" s="29"/>
      <c r="U36" s="29"/>
      <c r="V36" s="98"/>
    </row>
    <row r="37" spans="1:27" s="27" customFormat="1">
      <c r="A37" s="27" t="s">
        <v>69</v>
      </c>
      <c r="B37" s="46">
        <v>-2.7040000000000002</v>
      </c>
      <c r="C37" s="46">
        <v>-2.262</v>
      </c>
      <c r="D37" s="46">
        <v>4.016</v>
      </c>
      <c r="E37" s="46">
        <v>7.8419999999999996</v>
      </c>
      <c r="F37" s="46">
        <v>-5.3810000000000002</v>
      </c>
      <c r="G37" s="27">
        <v>15.234999999999999</v>
      </c>
      <c r="H37" s="27">
        <f>+H35+H36</f>
        <v>-3.6799999999999997</v>
      </c>
      <c r="I37" s="27">
        <f>+I35+I36</f>
        <v>-9.7690000000000001</v>
      </c>
      <c r="J37" s="27">
        <f>+J35+J36</f>
        <v>3.9689999999999999</v>
      </c>
      <c r="K37" s="54" t="s">
        <v>112</v>
      </c>
      <c r="L37" s="27">
        <f>+L35+L36</f>
        <v>10.713000000000001</v>
      </c>
      <c r="M37" s="27">
        <f>+M35+M36</f>
        <v>0.61099999999999999</v>
      </c>
      <c r="Z37" s="33"/>
    </row>
    <row r="38" spans="1:27">
      <c r="B38" s="33"/>
      <c r="C38" s="33"/>
      <c r="D38" s="33"/>
      <c r="E38" s="33"/>
      <c r="F38" s="33"/>
      <c r="G38" s="33"/>
      <c r="H38" s="33"/>
      <c r="I38" s="33"/>
      <c r="J38" s="33"/>
      <c r="K38" s="33"/>
    </row>
    <row r="39" spans="1:27" s="35" customFormat="1">
      <c r="A39" s="34" t="s">
        <v>70</v>
      </c>
      <c r="B39" s="20">
        <v>2.5</v>
      </c>
      <c r="C39" s="20">
        <v>2.5</v>
      </c>
      <c r="D39" s="20">
        <v>0</v>
      </c>
      <c r="E39" s="20">
        <v>0</v>
      </c>
      <c r="F39" s="20">
        <v>0</v>
      </c>
      <c r="G39" s="20">
        <v>0</v>
      </c>
      <c r="H39" s="20">
        <v>0.5</v>
      </c>
      <c r="I39" s="20">
        <v>0</v>
      </c>
      <c r="J39" s="20">
        <v>0</v>
      </c>
      <c r="K39" s="20">
        <v>0</v>
      </c>
      <c r="L39" s="20">
        <v>0</v>
      </c>
      <c r="M39" s="20">
        <v>0</v>
      </c>
      <c r="N39" s="20">
        <v>0</v>
      </c>
      <c r="O39" s="20"/>
      <c r="P39" s="20"/>
      <c r="Q39" s="20"/>
      <c r="R39" s="20"/>
      <c r="S39" s="20"/>
      <c r="T39" s="20"/>
      <c r="U39" s="20"/>
    </row>
    <row r="40" spans="1:27" s="35" customFormat="1">
      <c r="A40" s="34" t="s">
        <v>71</v>
      </c>
      <c r="B40" s="20">
        <f>440.247-B39</f>
        <v>437.74700000000001</v>
      </c>
      <c r="C40" s="20">
        <v>438.87299999999999</v>
      </c>
      <c r="D40" s="20">
        <v>439.99799999999999</v>
      </c>
      <c r="E40" s="20">
        <v>441.12299999999999</v>
      </c>
      <c r="F40" s="20">
        <f>G40-1.125</f>
        <v>442.24900000000002</v>
      </c>
      <c r="G40" s="20">
        <v>443.37400000000002</v>
      </c>
      <c r="H40" s="20">
        <f>444.499</f>
        <v>444.49900000000002</v>
      </c>
      <c r="I40" s="20">
        <v>445.62400000000002</v>
      </c>
      <c r="J40" s="20">
        <v>446.74900000000002</v>
      </c>
      <c r="K40" s="20">
        <v>447.875</v>
      </c>
      <c r="L40" s="20">
        <v>450</v>
      </c>
      <c r="M40" s="20">
        <v>375</v>
      </c>
      <c r="N40" s="20">
        <v>375</v>
      </c>
      <c r="O40" s="20"/>
      <c r="P40" s="20"/>
      <c r="Q40" s="20"/>
      <c r="R40" s="20"/>
      <c r="S40" s="20"/>
      <c r="T40" s="20"/>
      <c r="U40" s="20"/>
      <c r="V40" s="98"/>
      <c r="W40" s="33"/>
      <c r="AA40" s="33"/>
    </row>
    <row r="41" spans="1:27" s="35" customFormat="1">
      <c r="A41" s="34" t="s">
        <v>72</v>
      </c>
      <c r="B41" s="20">
        <f t="shared" ref="B41:E41" si="23">B39+B40</f>
        <v>440.24700000000001</v>
      </c>
      <c r="C41" s="20">
        <f t="shared" si="23"/>
        <v>441.37299999999999</v>
      </c>
      <c r="D41" s="20">
        <f t="shared" si="23"/>
        <v>439.99799999999999</v>
      </c>
      <c r="E41" s="20">
        <f t="shared" si="23"/>
        <v>441.12299999999999</v>
      </c>
      <c r="F41" s="20">
        <f t="shared" ref="F41:N41" si="24">F39+F40</f>
        <v>442.24900000000002</v>
      </c>
      <c r="G41" s="20">
        <f t="shared" si="24"/>
        <v>443.37400000000002</v>
      </c>
      <c r="H41" s="20">
        <f t="shared" si="24"/>
        <v>444.99900000000002</v>
      </c>
      <c r="I41" s="20">
        <f t="shared" si="24"/>
        <v>445.62400000000002</v>
      </c>
      <c r="J41" s="20">
        <f t="shared" si="24"/>
        <v>446.74900000000002</v>
      </c>
      <c r="K41" s="20">
        <f t="shared" si="24"/>
        <v>447.875</v>
      </c>
      <c r="L41" s="20">
        <f t="shared" si="24"/>
        <v>450</v>
      </c>
      <c r="M41" s="20">
        <f t="shared" si="24"/>
        <v>375</v>
      </c>
      <c r="N41" s="20">
        <f t="shared" si="24"/>
        <v>375</v>
      </c>
      <c r="O41" s="20"/>
      <c r="P41" s="20"/>
      <c r="Q41" s="20"/>
      <c r="R41" s="20"/>
      <c r="S41" s="20"/>
      <c r="T41" s="20"/>
      <c r="U41" s="20"/>
      <c r="V41" s="115"/>
      <c r="W41" s="33"/>
      <c r="AA41" s="27"/>
    </row>
    <row r="42" spans="1:27" s="35" customFormat="1">
      <c r="A42" s="34" t="s">
        <v>73</v>
      </c>
      <c r="B42" s="36">
        <v>243</v>
      </c>
      <c r="C42" s="36">
        <v>243</v>
      </c>
      <c r="D42" s="36">
        <v>243</v>
      </c>
      <c r="E42" s="36">
        <v>243</v>
      </c>
      <c r="F42" s="36">
        <v>243</v>
      </c>
      <c r="G42" s="36">
        <v>243</v>
      </c>
      <c r="H42" s="36">
        <v>243</v>
      </c>
      <c r="I42" s="36">
        <v>243</v>
      </c>
      <c r="J42" s="36">
        <v>243</v>
      </c>
      <c r="K42" s="36">
        <v>243</v>
      </c>
      <c r="L42" s="36">
        <v>243</v>
      </c>
      <c r="M42" s="36">
        <v>243</v>
      </c>
      <c r="N42" s="36">
        <v>243</v>
      </c>
      <c r="O42" s="36"/>
      <c r="P42" s="36"/>
      <c r="Q42" s="36"/>
      <c r="R42" s="36"/>
      <c r="S42" s="36"/>
      <c r="T42" s="36"/>
      <c r="U42" s="36"/>
      <c r="W42" s="33"/>
    </row>
    <row r="43" spans="1:27">
      <c r="B43" s="35"/>
      <c r="C43" s="35"/>
      <c r="D43" s="35"/>
      <c r="E43" s="35"/>
      <c r="F43" s="35"/>
      <c r="G43" s="35"/>
      <c r="H43" s="35"/>
      <c r="I43" s="35"/>
      <c r="J43" s="35"/>
      <c r="K43" s="35"/>
      <c r="L43" s="35"/>
      <c r="M43" s="35"/>
      <c r="N43" s="35"/>
      <c r="O43" s="35"/>
      <c r="P43" s="35"/>
    </row>
    <row r="44" spans="1:27">
      <c r="A44" s="19" t="s">
        <v>74</v>
      </c>
      <c r="B44" s="28">
        <v>4.5170000000000003</v>
      </c>
      <c r="C44" s="28">
        <v>3.9729999999999999</v>
      </c>
      <c r="D44" s="28">
        <v>8.9280000000000008</v>
      </c>
      <c r="E44" s="28">
        <v>6.0380000000000003</v>
      </c>
      <c r="F44" s="28">
        <v>6.98</v>
      </c>
      <c r="G44" s="28">
        <v>15.897</v>
      </c>
      <c r="H44" s="28">
        <f>0.662</f>
        <v>0.66200000000000003</v>
      </c>
      <c r="I44" s="28">
        <v>0</v>
      </c>
      <c r="J44" s="28">
        <v>15.5</v>
      </c>
      <c r="K44" s="28">
        <v>12.776999999999999</v>
      </c>
      <c r="L44" s="28">
        <v>25</v>
      </c>
      <c r="M44" s="28">
        <v>22</v>
      </c>
      <c r="N44" s="28">
        <v>22</v>
      </c>
      <c r="O44" s="28"/>
      <c r="P44" s="28"/>
      <c r="Q44" s="28"/>
      <c r="R44" s="28"/>
      <c r="S44" s="57"/>
      <c r="T44" s="57"/>
      <c r="U44" s="57"/>
    </row>
    <row r="46" spans="1:27">
      <c r="A46" s="14" t="s">
        <v>75</v>
      </c>
      <c r="B46" s="33">
        <f t="shared" ref="B46:I46" si="25">SUM(B12:E12)</f>
        <v>77.790999999999997</v>
      </c>
      <c r="C46" s="33">
        <f t="shared" si="25"/>
        <v>81.387</v>
      </c>
      <c r="D46" s="33">
        <f t="shared" si="25"/>
        <v>86.989000000000004</v>
      </c>
      <c r="E46" s="33">
        <f t="shared" si="25"/>
        <v>92.634</v>
      </c>
      <c r="F46" s="33">
        <f t="shared" si="25"/>
        <v>94.874000000000009</v>
      </c>
      <c r="G46" s="33">
        <f t="shared" si="25"/>
        <v>94.739000000000004</v>
      </c>
      <c r="H46" s="33">
        <f t="shared" si="25"/>
        <v>89.540999999999997</v>
      </c>
      <c r="I46" s="33">
        <f t="shared" si="25"/>
        <v>94.787999999999997</v>
      </c>
      <c r="J46" s="33">
        <f t="shared" ref="J46:R46" si="26">SUM(J12:M12)</f>
        <v>108.40799999999999</v>
      </c>
      <c r="K46" s="33">
        <f t="shared" si="26"/>
        <v>115.0939657051743</v>
      </c>
      <c r="L46" s="33">
        <f t="shared" si="26"/>
        <v>121.94887239517431</v>
      </c>
      <c r="M46" s="33">
        <f t="shared" si="26"/>
        <v>128.7908089951743</v>
      </c>
      <c r="N46" s="33">
        <f t="shared" si="26"/>
        <v>123.12012304517431</v>
      </c>
      <c r="O46" s="33">
        <f t="shared" si="26"/>
        <v>106.17357860000001</v>
      </c>
      <c r="P46" s="33">
        <f t="shared" si="26"/>
        <v>93.232913219999972</v>
      </c>
      <c r="Q46" s="33">
        <f t="shared" si="26"/>
        <v>93.640007599999976</v>
      </c>
      <c r="R46" s="33">
        <f t="shared" si="26"/>
        <v>96.887869239999986</v>
      </c>
      <c r="V46" s="98"/>
    </row>
    <row r="47" spans="1:27">
      <c r="A47" s="14" t="s">
        <v>76</v>
      </c>
      <c r="B47" s="58">
        <f t="shared" ref="B47:C47" si="27">B27</f>
        <v>47.480000000000004</v>
      </c>
      <c r="C47" s="58">
        <f t="shared" si="27"/>
        <v>50.125</v>
      </c>
      <c r="D47" s="58">
        <f t="shared" ref="D47:E47" si="28">D27</f>
        <v>53.612000000000002</v>
      </c>
      <c r="E47" s="58">
        <f t="shared" si="28"/>
        <v>57.111000000000004</v>
      </c>
      <c r="F47" s="58">
        <f t="shared" ref="F47:K47" si="29">F27</f>
        <v>50.893999999999998</v>
      </c>
      <c r="G47" s="58">
        <f t="shared" si="29"/>
        <v>53.580000000000005</v>
      </c>
      <c r="H47" s="58">
        <f t="shared" si="29"/>
        <v>52.302363999999997</v>
      </c>
      <c r="I47" s="58">
        <f t="shared" si="29"/>
        <v>59.386000000000003</v>
      </c>
      <c r="J47" s="58">
        <f t="shared" si="29"/>
        <v>110.4</v>
      </c>
      <c r="K47" s="58">
        <f t="shared" si="29"/>
        <v>133.4</v>
      </c>
      <c r="L47" s="51">
        <v>153.9</v>
      </c>
      <c r="M47" s="58">
        <f>N47+M22-Q22</f>
        <v>124.21855072999999</v>
      </c>
      <c r="N47" s="51">
        <v>110.8</v>
      </c>
      <c r="O47" s="33">
        <f>+O27</f>
        <v>92.041275569999996</v>
      </c>
      <c r="P47" s="33">
        <f>+P27</f>
        <v>79.081007429999971</v>
      </c>
      <c r="Q47" s="33">
        <f>+Q27</f>
        <v>80.004499259999974</v>
      </c>
      <c r="R47" s="33">
        <f>+R27</f>
        <v>83.925451229999965</v>
      </c>
      <c r="V47" s="98"/>
    </row>
    <row r="48" spans="1:27">
      <c r="A48" s="14" t="s">
        <v>77</v>
      </c>
      <c r="B48" s="58">
        <f>SUM(B37:E37)</f>
        <v>6.8919999999999995</v>
      </c>
      <c r="C48" s="58">
        <f>SUM(C37:F37)</f>
        <v>4.2149999999999999</v>
      </c>
      <c r="D48" s="58"/>
      <c r="E48" s="58"/>
      <c r="F48" s="58">
        <f>SUM(F37:I37)</f>
        <v>-3.5950000000000006</v>
      </c>
      <c r="G48" s="58">
        <f>SUM(G37:J37)</f>
        <v>5.754999999999999</v>
      </c>
      <c r="H48" s="58">
        <f t="shared" ref="H48:M48" si="30">I48*H47/I47</f>
        <v>28.517061497906134</v>
      </c>
      <c r="I48" s="58">
        <f t="shared" si="30"/>
        <v>32.379305342960286</v>
      </c>
      <c r="J48" s="58">
        <f t="shared" si="30"/>
        <v>60.193906137184108</v>
      </c>
      <c r="K48" s="58">
        <f t="shared" si="30"/>
        <v>72.734303249097465</v>
      </c>
      <c r="L48" s="58">
        <f t="shared" si="30"/>
        <v>83.911613718411544</v>
      </c>
      <c r="M48" s="58">
        <f t="shared" si="30"/>
        <v>67.728258905241503</v>
      </c>
      <c r="N48" s="51">
        <v>60.411999999999992</v>
      </c>
      <c r="O48" s="33"/>
      <c r="P48" s="33"/>
      <c r="Q48" s="33"/>
      <c r="R48" s="33"/>
      <c r="V48" s="98"/>
    </row>
    <row r="50" spans="1:21" s="37" customFormat="1">
      <c r="A50" s="37" t="s">
        <v>78</v>
      </c>
      <c r="B50" s="37">
        <f t="shared" ref="B50" si="31">+SUM(B39:B40)/B47</f>
        <v>9.2722620050547597</v>
      </c>
      <c r="C50" s="37">
        <f t="shared" ref="C50:D50" si="32">+SUM(C39:C40)/C47</f>
        <v>8.8054463840399002</v>
      </c>
      <c r="D50" s="37">
        <f t="shared" si="32"/>
        <v>8.2070805043646935</v>
      </c>
      <c r="E50" s="37">
        <f t="shared" ref="E50:F50" si="33">+SUM(E39:E40)/E47</f>
        <v>7.7239586069233592</v>
      </c>
      <c r="F50" s="37">
        <f t="shared" si="33"/>
        <v>8.6896097771839518</v>
      </c>
      <c r="G50" s="37">
        <f t="shared" ref="G50:H50" si="34">+SUM(G39:G40)/G47</f>
        <v>8.2749906681597611</v>
      </c>
      <c r="H50" s="37">
        <f t="shared" si="34"/>
        <v>8.5082005088718375</v>
      </c>
      <c r="I50" s="37">
        <f t="shared" ref="I50:N50" si="35">+SUM(I39:I40)/I47</f>
        <v>7.5038561277068672</v>
      </c>
      <c r="J50" s="37">
        <f t="shared" si="35"/>
        <v>4.0466394927536236</v>
      </c>
      <c r="K50" s="37">
        <f t="shared" si="35"/>
        <v>3.3573838080959519</v>
      </c>
      <c r="L50" s="37">
        <f t="shared" si="35"/>
        <v>2.9239766081871346</v>
      </c>
      <c r="M50" s="37">
        <f t="shared" si="35"/>
        <v>3.0188727673622249</v>
      </c>
      <c r="N50" s="37">
        <f t="shared" si="35"/>
        <v>3.384476534296029</v>
      </c>
    </row>
    <row r="51" spans="1:21" s="37" customFormat="1">
      <c r="A51" s="37" t="s">
        <v>79</v>
      </c>
      <c r="B51" s="37">
        <f t="shared" ref="B51" si="36">+B41/B47</f>
        <v>9.2722620050547597</v>
      </c>
      <c r="C51" s="37">
        <f t="shared" ref="C51:D51" si="37">+C41/C47</f>
        <v>8.8054463840399002</v>
      </c>
      <c r="D51" s="37">
        <f t="shared" si="37"/>
        <v>8.2070805043646935</v>
      </c>
      <c r="E51" s="37">
        <f t="shared" ref="E51:F51" si="38">+E41/E47</f>
        <v>7.7239586069233592</v>
      </c>
      <c r="F51" s="37">
        <f t="shared" si="38"/>
        <v>8.6896097771839518</v>
      </c>
      <c r="G51" s="37">
        <f t="shared" ref="G51:H51" si="39">+G41/G47</f>
        <v>8.2749906681597611</v>
      </c>
      <c r="H51" s="37">
        <f t="shared" si="39"/>
        <v>8.5082005088718375</v>
      </c>
      <c r="I51" s="37">
        <f t="shared" ref="I51:N51" si="40">+I41/I47</f>
        <v>7.5038561277068672</v>
      </c>
      <c r="J51" s="37">
        <f t="shared" si="40"/>
        <v>4.0466394927536236</v>
      </c>
      <c r="K51" s="37">
        <f t="shared" si="40"/>
        <v>3.3573838080959519</v>
      </c>
      <c r="L51" s="37">
        <f t="shared" si="40"/>
        <v>2.9239766081871346</v>
      </c>
      <c r="M51" s="37">
        <f t="shared" si="40"/>
        <v>3.0188727673622249</v>
      </c>
      <c r="N51" s="37">
        <f t="shared" si="40"/>
        <v>3.384476534296029</v>
      </c>
    </row>
    <row r="52" spans="1:21" s="37" customFormat="1">
      <c r="A52" s="37" t="s">
        <v>80</v>
      </c>
      <c r="B52" s="37">
        <f t="shared" ref="B52" si="41">+(B41-B44)/B47</f>
        <v>9.1771272114574547</v>
      </c>
      <c r="C52" s="37">
        <f t="shared" ref="C52:D52" si="42">+(C41-C44)/C47</f>
        <v>8.7261845386533654</v>
      </c>
      <c r="D52" s="37">
        <f t="shared" si="42"/>
        <v>8.0405506229948518</v>
      </c>
      <c r="E52" s="37">
        <f t="shared" ref="E52:F52" si="43">+(E41-E44)/E47</f>
        <v>7.618234665826197</v>
      </c>
      <c r="F52" s="37">
        <f t="shared" si="43"/>
        <v>8.552461979801155</v>
      </c>
      <c r="G52" s="37">
        <f t="shared" ref="G52:H52" si="44">+(G41-G44)/G47</f>
        <v>7.9782941396043299</v>
      </c>
      <c r="H52" s="37">
        <f t="shared" si="44"/>
        <v>8.4955433371998268</v>
      </c>
      <c r="I52" s="37">
        <f t="shared" ref="I52:N52" si="45">+(I41-I44)/I47</f>
        <v>7.5038561277068672</v>
      </c>
      <c r="J52" s="37">
        <f t="shared" si="45"/>
        <v>3.9062409420289854</v>
      </c>
      <c r="K52" s="37">
        <f t="shared" si="45"/>
        <v>3.2616041979010495</v>
      </c>
      <c r="L52" s="37">
        <f t="shared" si="45"/>
        <v>2.761533463287849</v>
      </c>
      <c r="M52" s="37">
        <f t="shared" si="45"/>
        <v>2.841765565010308</v>
      </c>
      <c r="N52" s="37">
        <f t="shared" si="45"/>
        <v>3.1859205776173285</v>
      </c>
    </row>
    <row r="53" spans="1:21" s="38" customFormat="1">
      <c r="A53" s="38" t="s">
        <v>81</v>
      </c>
      <c r="B53" s="38">
        <f t="shared" ref="B53" si="46">+B48/B41</f>
        <v>1.5654848301067354E-2</v>
      </c>
      <c r="C53" s="38">
        <f t="shared" ref="C53:D53" si="47">+C48/C41</f>
        <v>9.5497459065235074E-3</v>
      </c>
      <c r="D53" s="38">
        <f t="shared" si="47"/>
        <v>0</v>
      </c>
      <c r="E53" s="38">
        <f t="shared" ref="E53:F53" si="48">+E48/E41</f>
        <v>0</v>
      </c>
      <c r="F53" s="38">
        <f t="shared" si="48"/>
        <v>-8.1289047572747491E-3</v>
      </c>
      <c r="G53" s="38">
        <f t="shared" ref="G53:H53" si="49">+G48/G41</f>
        <v>1.2980012359768499E-2</v>
      </c>
      <c r="H53" s="38">
        <f t="shared" si="49"/>
        <v>6.4083428272661586E-2</v>
      </c>
      <c r="I53" s="38">
        <f t="shared" ref="I53:N53" si="50">+I48/I41</f>
        <v>7.2660595800406361E-2</v>
      </c>
      <c r="J53" s="38">
        <f t="shared" si="50"/>
        <v>0.13473764045847691</v>
      </c>
      <c r="K53" s="38">
        <f t="shared" si="50"/>
        <v>0.16239866759497062</v>
      </c>
      <c r="L53" s="38">
        <f t="shared" si="50"/>
        <v>0.18647025270758122</v>
      </c>
      <c r="M53" s="38">
        <f t="shared" si="50"/>
        <v>0.18060869041397734</v>
      </c>
      <c r="N53" s="38">
        <f t="shared" si="50"/>
        <v>0.16109866666666664</v>
      </c>
    </row>
    <row r="54" spans="1:21" s="38" customFormat="1">
      <c r="A54" s="39" t="s">
        <v>82</v>
      </c>
      <c r="B54" s="40"/>
      <c r="C54" s="40"/>
      <c r="D54" s="40"/>
      <c r="E54" s="40"/>
      <c r="F54" s="40"/>
      <c r="G54" s="40"/>
      <c r="H54" s="40"/>
      <c r="I54" s="40"/>
      <c r="J54" s="40"/>
      <c r="K54" s="40"/>
      <c r="L54" s="40"/>
      <c r="M54" s="40"/>
      <c r="N54" s="40"/>
      <c r="O54" s="40"/>
      <c r="P54" s="40"/>
      <c r="Q54" s="40"/>
      <c r="R54" s="40"/>
      <c r="S54" s="39"/>
      <c r="T54" s="39"/>
      <c r="U54" s="39"/>
    </row>
    <row r="55" spans="1:21" s="38" customFormat="1">
      <c r="A55" s="38" t="s">
        <v>83</v>
      </c>
      <c r="B55" s="41">
        <f t="shared" ref="B55:C55" si="51">IF(B42=0,IF(B54="","","*"&amp;TEXT(B54,"0.0x")),(B41+B42-B44)/B47)</f>
        <v>14.295071609098567</v>
      </c>
      <c r="C55" s="41">
        <f t="shared" si="51"/>
        <v>13.574064837905238</v>
      </c>
      <c r="D55" s="41">
        <f t="shared" ref="D55:E55" si="52">IF(D42=0,IF(D54="","","*"&amp;TEXT(D54,"0.0x")),(D41+D42-D44)/D47)</f>
        <v>12.573117958665971</v>
      </c>
      <c r="E55" s="41">
        <f t="shared" si="52"/>
        <v>11.873106757017037</v>
      </c>
      <c r="F55" s="41">
        <f t="shared" ref="F55:G55" si="53">IF(F42=0,IF(F54="","","*"&amp;TEXT(F54,"0.0x")),(F41+F42-F44)/F47)</f>
        <v>13.327091602153496</v>
      </c>
      <c r="G55" s="41">
        <f t="shared" si="53"/>
        <v>12.513568495707352</v>
      </c>
      <c r="H55" s="41">
        <f t="shared" ref="H55:I55" si="54">IF(H42=0,IF(H54="","","*"&amp;TEXT(H54,"0.0x")),(H41+H42-H44)/H47)</f>
        <v>13.141604842182661</v>
      </c>
      <c r="I55" s="41">
        <f t="shared" si="54"/>
        <v>11.595729633246894</v>
      </c>
      <c r="J55" s="41">
        <f t="shared" ref="J55:K55" si="55">IF(J42=0,IF(J54="","","*"&amp;TEXT(J54,"0.0x")),(J41+J42-J44)/J47)</f>
        <v>6.1073278985507242</v>
      </c>
      <c r="K55" s="41">
        <f t="shared" si="55"/>
        <v>5.0831934032983499</v>
      </c>
      <c r="L55" s="41">
        <f t="shared" ref="L55:R55" si="56">IF(L42=0,IF(L54="","","*"&amp;TEXT(L54,"0.0x")),(L41+L42-L44)/L47)</f>
        <v>4.3404808317089021</v>
      </c>
      <c r="M55" s="41">
        <f t="shared" si="56"/>
        <v>4.7979951182610296</v>
      </c>
      <c r="N55" s="41">
        <f t="shared" si="56"/>
        <v>5.3790613718411553</v>
      </c>
      <c r="O55" s="41" t="str">
        <f t="shared" si="56"/>
        <v/>
      </c>
      <c r="P55" s="41" t="str">
        <f t="shared" si="56"/>
        <v/>
      </c>
      <c r="Q55" s="41" t="str">
        <f t="shared" si="56"/>
        <v/>
      </c>
      <c r="R55" s="41" t="str">
        <f t="shared" si="56"/>
        <v/>
      </c>
      <c r="S55" s="41" t="str">
        <f>IF(S42=0,IF(S54="","",CONCATENATE("* ",S54,"x")),(S41+S42-S44)/S47)</f>
        <v/>
      </c>
      <c r="T55" s="41" t="str">
        <f>IF(T42=0,IF(T54="","",CONCATENATE("* ",T54,"x")),(T41+T42-T44)/T47)</f>
        <v/>
      </c>
      <c r="U55" s="41" t="str">
        <f>IF(U42=0,IF(U54="","",CONCATENATE("* ",U54,"x")),(U41+U42-U44)/U47)</f>
        <v/>
      </c>
    </row>
    <row r="56" spans="1:21">
      <c r="R56" s="42"/>
    </row>
    <row r="57" spans="1:21" ht="80.25" customHeight="1">
      <c r="A57" s="43" t="s">
        <v>84</v>
      </c>
      <c r="B57" s="44" t="s">
        <v>423</v>
      </c>
      <c r="C57" s="44" t="s">
        <v>423</v>
      </c>
      <c r="D57" s="44" t="s">
        <v>423</v>
      </c>
      <c r="E57" s="44" t="s">
        <v>423</v>
      </c>
      <c r="F57" s="44" t="s">
        <v>289</v>
      </c>
      <c r="G57" s="44" t="s">
        <v>423</v>
      </c>
      <c r="H57" s="44" t="s">
        <v>423</v>
      </c>
      <c r="I57" s="44" t="s">
        <v>423</v>
      </c>
      <c r="J57" s="44" t="s">
        <v>289</v>
      </c>
      <c r="K57" s="44" t="s">
        <v>289</v>
      </c>
      <c r="L57" s="44"/>
      <c r="M57" s="44"/>
      <c r="N57" s="44" t="s">
        <v>90</v>
      </c>
      <c r="O57" s="44"/>
      <c r="P57" s="44"/>
      <c r="Q57" s="44"/>
      <c r="R57" s="44"/>
      <c r="S57" s="44"/>
      <c r="T57" s="44"/>
      <c r="U57" s="44"/>
    </row>
    <row r="58" spans="1:21">
      <c r="A58" s="45"/>
      <c r="B58" s="42"/>
      <c r="C58" s="42"/>
      <c r="D58" s="42"/>
      <c r="E58" s="42"/>
      <c r="F58" s="42"/>
      <c r="G58" s="42"/>
      <c r="H58" s="42"/>
      <c r="I58" s="42"/>
      <c r="J58" s="42"/>
      <c r="K58" s="42"/>
      <c r="L58" s="42"/>
      <c r="M58" s="42"/>
      <c r="N58" s="42"/>
    </row>
    <row r="59" spans="1:21">
      <c r="A59" s="45"/>
    </row>
  </sheetData>
  <pageMargins left="0.7" right="0.7" top="0.75" bottom="0.75" header="0.3" footer="0.3"/>
  <pageSetup orientation="portrait" r:id="rId1"/>
  <ignoredErrors>
    <ignoredError sqref="Q46:R47 N46:P47 I48:P54 I46:M47 C46:H46 B47:C49 B46" formulaRange="1"/>
  </ignoredErrors>
  <legacyDrawing r:id="rId2"/>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2:L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ColWidth="9.109375" defaultRowHeight="13.8"/>
  <cols>
    <col min="1" max="1" width="22.6640625" style="14" customWidth="1"/>
    <col min="2" max="12" width="10.6640625" style="14" customWidth="1"/>
    <col min="13" max="16384" width="9.109375" style="14"/>
  </cols>
  <sheetData>
    <row r="2" spans="1:12">
      <c r="A2" s="13" t="s">
        <v>44</v>
      </c>
      <c r="B2" s="14" t="s">
        <v>228</v>
      </c>
    </row>
    <row r="3" spans="1:12" s="16" customFormat="1">
      <c r="A3" s="15" t="s">
        <v>45</v>
      </c>
      <c r="B3" s="16" t="s">
        <v>229</v>
      </c>
    </row>
    <row r="4" spans="1:12">
      <c r="A4" s="13" t="s">
        <v>2</v>
      </c>
      <c r="B4" s="14" t="s">
        <v>4</v>
      </c>
    </row>
    <row r="5" spans="1:12">
      <c r="A5" s="13" t="s">
        <v>46</v>
      </c>
    </row>
    <row r="6" spans="1:12">
      <c r="A6" s="13" t="s">
        <v>47</v>
      </c>
    </row>
    <row r="7" spans="1:12">
      <c r="A7" s="13" t="s">
        <v>48</v>
      </c>
      <c r="B7" s="14" t="e">
        <v>#N/A</v>
      </c>
    </row>
    <row r="8" spans="1:12">
      <c r="A8" s="13" t="s">
        <v>347</v>
      </c>
      <c r="B8" s="14" t="e">
        <v>#N/A</v>
      </c>
    </row>
    <row r="9" spans="1:12">
      <c r="A9" s="17"/>
    </row>
    <row r="10" spans="1:12">
      <c r="A10" s="17" t="s">
        <v>49</v>
      </c>
      <c r="B10" s="18">
        <v>43373</v>
      </c>
      <c r="C10" s="18">
        <v>43281</v>
      </c>
      <c r="D10" s="18">
        <v>43190</v>
      </c>
      <c r="E10" s="18">
        <v>43100</v>
      </c>
      <c r="F10" s="18">
        <f>EOMONTH(E10,-3)</f>
        <v>43008</v>
      </c>
      <c r="G10" s="18">
        <f t="shared" ref="G10:L10" si="0">EOMONTH(F10,-3)</f>
        <v>42916</v>
      </c>
      <c r="H10" s="18">
        <f t="shared" si="0"/>
        <v>42825</v>
      </c>
      <c r="I10" s="18">
        <f t="shared" si="0"/>
        <v>42735</v>
      </c>
      <c r="J10" s="18">
        <f t="shared" si="0"/>
        <v>42643</v>
      </c>
      <c r="K10" s="18">
        <f t="shared" si="0"/>
        <v>42551</v>
      </c>
      <c r="L10" s="18">
        <f t="shared" si="0"/>
        <v>42460</v>
      </c>
    </row>
    <row r="12" spans="1:12">
      <c r="A12" s="19" t="s">
        <v>50</v>
      </c>
      <c r="B12" s="20">
        <v>108.429</v>
      </c>
      <c r="C12" s="20">
        <v>111.908</v>
      </c>
      <c r="D12" s="20">
        <v>110.93899999999999</v>
      </c>
      <c r="E12" s="20">
        <f>446.833-F12-G12-H12</f>
        <v>119.71000000000002</v>
      </c>
      <c r="F12" s="20">
        <f>107.593</f>
        <v>107.593</v>
      </c>
      <c r="G12" s="20">
        <v>111.438</v>
      </c>
      <c r="H12" s="20">
        <v>108.092</v>
      </c>
      <c r="I12" s="20">
        <f>390.045-J12-K12-L12</f>
        <v>103.92700000000004</v>
      </c>
      <c r="J12" s="20">
        <v>98.350999999999999</v>
      </c>
      <c r="K12" s="20">
        <v>96.2</v>
      </c>
      <c r="L12" s="20">
        <v>91.566999999999993</v>
      </c>
    </row>
    <row r="13" spans="1:12" s="21" customFormat="1">
      <c r="A13" s="21" t="s">
        <v>51</v>
      </c>
      <c r="B13" s="21">
        <f t="shared" ref="B13:H13" si="1">+B12/F12-1</f>
        <v>7.7700222133409991E-3</v>
      </c>
      <c r="C13" s="21">
        <f t="shared" si="1"/>
        <v>4.2175918447926453E-3</v>
      </c>
      <c r="D13" s="21">
        <f t="shared" si="1"/>
        <v>2.6338674462494938E-2</v>
      </c>
      <c r="E13" s="21">
        <f t="shared" si="1"/>
        <v>0.15186621378467557</v>
      </c>
      <c r="F13" s="21">
        <f t="shared" si="1"/>
        <v>9.3969558011611554E-2</v>
      </c>
      <c r="G13" s="21">
        <f t="shared" si="1"/>
        <v>0.15839916839916834</v>
      </c>
      <c r="H13" s="21">
        <f t="shared" si="1"/>
        <v>0.18046894623608956</v>
      </c>
    </row>
    <row r="14" spans="1:12" s="24" customFormat="1">
      <c r="A14" s="22" t="s">
        <v>52</v>
      </c>
      <c r="B14" s="23" t="s">
        <v>3</v>
      </c>
      <c r="C14" s="23" t="s">
        <v>3</v>
      </c>
      <c r="D14" s="23" t="s">
        <v>3</v>
      </c>
      <c r="E14" s="23" t="s">
        <v>3</v>
      </c>
      <c r="F14" s="23" t="s">
        <v>3</v>
      </c>
      <c r="G14" s="23" t="s">
        <v>3</v>
      </c>
      <c r="H14" s="23" t="s">
        <v>3</v>
      </c>
      <c r="I14" s="22"/>
      <c r="J14" s="22"/>
      <c r="K14" s="22"/>
      <c r="L14" s="22"/>
    </row>
    <row r="16" spans="1:12" s="17" customFormat="1">
      <c r="A16" s="25" t="s">
        <v>53</v>
      </c>
      <c r="B16" s="26">
        <f t="shared" ref="B16:L16" si="2">B22-SUM(B19:B21)</f>
        <v>7.7259999999999991</v>
      </c>
      <c r="C16" s="26">
        <f t="shared" si="2"/>
        <v>11.674999999999999</v>
      </c>
      <c r="D16" s="26">
        <f t="shared" si="2"/>
        <v>13.771999999999998</v>
      </c>
      <c r="E16" s="26">
        <f t="shared" si="2"/>
        <v>14.709999999999994</v>
      </c>
      <c r="F16" s="26">
        <f t="shared" si="2"/>
        <v>13.889000000000001</v>
      </c>
      <c r="G16" s="26">
        <f t="shared" si="2"/>
        <v>11.728000000000002</v>
      </c>
      <c r="H16" s="26">
        <f t="shared" si="2"/>
        <v>11.449</v>
      </c>
      <c r="I16" s="26">
        <f t="shared" si="2"/>
        <v>7.072999999999996</v>
      </c>
      <c r="J16" s="26">
        <f t="shared" si="2"/>
        <v>12.382</v>
      </c>
      <c r="K16" s="26">
        <f t="shared" si="2"/>
        <v>9.1769999999999996</v>
      </c>
      <c r="L16" s="26">
        <f t="shared" si="2"/>
        <v>9.1879999999999988</v>
      </c>
    </row>
    <row r="17" spans="1:12" s="21" customFormat="1">
      <c r="A17" s="21" t="s">
        <v>54</v>
      </c>
      <c r="B17" s="21">
        <f t="shared" ref="B17:L17" si="3">+B16/B12</f>
        <v>7.1254000313569238E-2</v>
      </c>
      <c r="C17" s="21">
        <f t="shared" si="3"/>
        <v>0.10432676841691388</v>
      </c>
      <c r="D17" s="21">
        <f t="shared" si="3"/>
        <v>0.12414029331434391</v>
      </c>
      <c r="E17" s="21">
        <f t="shared" si="3"/>
        <v>0.12288029404393945</v>
      </c>
      <c r="F17" s="21">
        <f t="shared" si="3"/>
        <v>0.12908832358982461</v>
      </c>
      <c r="G17" s="21">
        <f t="shared" si="3"/>
        <v>0.10524237692708054</v>
      </c>
      <c r="H17" s="21">
        <f t="shared" si="3"/>
        <v>0.10591903193575843</v>
      </c>
      <c r="I17" s="21">
        <f t="shared" si="3"/>
        <v>6.8057386434708919E-2</v>
      </c>
      <c r="J17" s="21">
        <f t="shared" si="3"/>
        <v>0.12589602545983264</v>
      </c>
      <c r="K17" s="21">
        <f t="shared" si="3"/>
        <v>9.5395010395010388E-2</v>
      </c>
      <c r="L17" s="21">
        <f t="shared" si="3"/>
        <v>0.10034182620376336</v>
      </c>
    </row>
    <row r="18" spans="1:12" s="24" customFormat="1"/>
    <row r="19" spans="1:12" s="24" customFormat="1">
      <c r="A19" s="19" t="s">
        <v>55</v>
      </c>
      <c r="B19" s="20">
        <v>0.28799999999999998</v>
      </c>
      <c r="C19" s="20">
        <f>0.439</f>
        <v>0.439</v>
      </c>
      <c r="D19" s="20">
        <v>0.193</v>
      </c>
      <c r="E19" s="20">
        <f>2.654+0.742-F19-G19-H19</f>
        <v>0.87599999999999989</v>
      </c>
      <c r="F19" s="20">
        <f>0.541</f>
        <v>0.54100000000000004</v>
      </c>
      <c r="G19" s="20">
        <f>0.894+0.742</f>
        <v>1.6360000000000001</v>
      </c>
      <c r="H19" s="20">
        <f>0.343</f>
        <v>0.34300000000000003</v>
      </c>
      <c r="I19" s="20">
        <f>3.936-1.036+0.64-J19-K19-L19</f>
        <v>5.8999999999999941E-2</v>
      </c>
      <c r="J19" s="20">
        <f>0.192</f>
        <v>0.192</v>
      </c>
      <c r="K19" s="20">
        <f>1.913</f>
        <v>1.913</v>
      </c>
      <c r="L19" s="20">
        <f>1.376</f>
        <v>1.3759999999999999</v>
      </c>
    </row>
    <row r="20" spans="1:12" s="24" customFormat="1">
      <c r="A20" s="19" t="s">
        <v>56</v>
      </c>
      <c r="B20" s="20">
        <v>8.4350000000000005</v>
      </c>
      <c r="C20" s="20">
        <v>4.375</v>
      </c>
      <c r="D20" s="20">
        <v>1.478</v>
      </c>
      <c r="E20" s="20">
        <f>6.601-F20-G20-H20</f>
        <v>2.6210000000000004</v>
      </c>
      <c r="F20" s="20">
        <f>0.829</f>
        <v>0.82899999999999996</v>
      </c>
      <c r="G20" s="20">
        <f>2.32</f>
        <v>2.3199999999999998</v>
      </c>
      <c r="H20" s="20">
        <f>0.831</f>
        <v>0.83099999999999996</v>
      </c>
      <c r="I20" s="20">
        <f>5.959-J20-K20-L20</f>
        <v>3.8409999999999997</v>
      </c>
      <c r="J20" s="20">
        <f>0.55</f>
        <v>0.55000000000000004</v>
      </c>
      <c r="K20" s="20">
        <v>1.599</v>
      </c>
      <c r="L20" s="20">
        <f>-0.031</f>
        <v>-3.1E-2</v>
      </c>
    </row>
    <row r="21" spans="1:12" s="24" customFormat="1">
      <c r="A21" s="19" t="s">
        <v>57</v>
      </c>
      <c r="B21" s="20">
        <v>1.173</v>
      </c>
      <c r="C21" s="20">
        <v>1.173</v>
      </c>
      <c r="D21" s="20">
        <v>1.173</v>
      </c>
      <c r="E21" s="20">
        <f>4.399-F21-G21-H21</f>
        <v>0.68900000000000006</v>
      </c>
      <c r="F21" s="20">
        <f>1.751</f>
        <v>1.7509999999999999</v>
      </c>
      <c r="G21" s="20">
        <f>0.857</f>
        <v>0.85699999999999998</v>
      </c>
      <c r="H21" s="20">
        <f>1.102</f>
        <v>1.1020000000000001</v>
      </c>
      <c r="I21" s="20">
        <f>4.103-1.318-J21-K21-L21</f>
        <v>-8.3000000000000185E-2</v>
      </c>
      <c r="J21" s="20">
        <f>0.96</f>
        <v>0.96</v>
      </c>
      <c r="K21" s="20">
        <f>0.963</f>
        <v>0.96299999999999997</v>
      </c>
      <c r="L21" s="20">
        <f>0.945</f>
        <v>0.94499999999999995</v>
      </c>
    </row>
    <row r="22" spans="1:12" s="17" customFormat="1">
      <c r="A22" s="17" t="s">
        <v>58</v>
      </c>
      <c r="B22" s="46">
        <v>17.622</v>
      </c>
      <c r="C22" s="46">
        <v>17.661999999999999</v>
      </c>
      <c r="D22" s="46">
        <v>16.616</v>
      </c>
      <c r="E22" s="46">
        <f>66.172-F22-G22-H22</f>
        <v>18.895999999999994</v>
      </c>
      <c r="F22" s="46">
        <v>17.010000000000002</v>
      </c>
      <c r="G22" s="46">
        <v>16.541</v>
      </c>
      <c r="H22" s="46">
        <v>13.725</v>
      </c>
      <c r="I22" s="46">
        <f>50.104-J22-K22-L22</f>
        <v>10.889999999999995</v>
      </c>
      <c r="J22" s="46">
        <v>14.084</v>
      </c>
      <c r="K22" s="46">
        <v>13.651999999999999</v>
      </c>
      <c r="L22" s="46">
        <v>11.478</v>
      </c>
    </row>
    <row r="23" spans="1:12" s="17" customFormat="1">
      <c r="B23" s="27"/>
      <c r="C23" s="27"/>
      <c r="D23" s="27"/>
      <c r="E23" s="27"/>
      <c r="F23" s="27"/>
      <c r="G23" s="27"/>
      <c r="H23" s="27"/>
      <c r="I23" s="27"/>
      <c r="J23" s="27"/>
      <c r="K23" s="27"/>
      <c r="L23" s="27"/>
    </row>
    <row r="24" spans="1:12" s="17" customFormat="1">
      <c r="A24" s="17" t="s">
        <v>59</v>
      </c>
      <c r="B24" s="27">
        <f t="shared" ref="B24:I24" si="4">SUM(B22:E22)</f>
        <v>70.795999999999992</v>
      </c>
      <c r="C24" s="27">
        <f t="shared" si="4"/>
        <v>70.183999999999997</v>
      </c>
      <c r="D24" s="27">
        <f t="shared" si="4"/>
        <v>69.062999999999988</v>
      </c>
      <c r="E24" s="27">
        <f t="shared" si="4"/>
        <v>66.171999999999983</v>
      </c>
      <c r="F24" s="27">
        <f t="shared" si="4"/>
        <v>58.165999999999997</v>
      </c>
      <c r="G24" s="27">
        <f t="shared" si="4"/>
        <v>55.239999999999995</v>
      </c>
      <c r="H24" s="27">
        <f t="shared" si="4"/>
        <v>52.350999999999999</v>
      </c>
      <c r="I24" s="27">
        <f t="shared" si="4"/>
        <v>50.103999999999999</v>
      </c>
      <c r="J24" s="27"/>
      <c r="K24" s="27"/>
      <c r="L24" s="27"/>
    </row>
    <row r="25" spans="1:12" s="24" customFormat="1">
      <c r="A25" s="19" t="s">
        <v>60</v>
      </c>
      <c r="B25" s="28">
        <v>0</v>
      </c>
      <c r="C25" s="28">
        <v>0</v>
      </c>
      <c r="D25" s="28">
        <v>0</v>
      </c>
      <c r="E25" s="28">
        <v>0</v>
      </c>
      <c r="F25" s="28">
        <v>0</v>
      </c>
      <c r="G25" s="28">
        <v>0</v>
      </c>
      <c r="H25" s="28">
        <v>0</v>
      </c>
      <c r="I25" s="28">
        <v>0</v>
      </c>
      <c r="J25" s="28"/>
      <c r="K25" s="28"/>
      <c r="L25" s="28"/>
    </row>
    <row r="26" spans="1:12" s="24" customFormat="1">
      <c r="A26" s="19" t="s">
        <v>61</v>
      </c>
      <c r="B26" s="29">
        <v>0</v>
      </c>
      <c r="C26" s="29">
        <v>0</v>
      </c>
      <c r="D26" s="29">
        <v>0</v>
      </c>
      <c r="E26" s="29">
        <v>0</v>
      </c>
      <c r="F26" s="29">
        <v>0</v>
      </c>
      <c r="G26" s="29">
        <v>0</v>
      </c>
      <c r="H26" s="29">
        <v>0</v>
      </c>
      <c r="I26" s="29">
        <v>0</v>
      </c>
      <c r="J26" s="30"/>
      <c r="K26" s="30"/>
      <c r="L26" s="30"/>
    </row>
    <row r="27" spans="1:12" s="32" customFormat="1">
      <c r="A27" s="17" t="s">
        <v>62</v>
      </c>
      <c r="B27" s="27">
        <f t="shared" ref="B27:I27" si="5">SUM(B24:B26)</f>
        <v>70.795999999999992</v>
      </c>
      <c r="C27" s="27">
        <f t="shared" si="5"/>
        <v>70.183999999999997</v>
      </c>
      <c r="D27" s="27">
        <f t="shared" si="5"/>
        <v>69.062999999999988</v>
      </c>
      <c r="E27" s="27">
        <f t="shared" si="5"/>
        <v>66.171999999999983</v>
      </c>
      <c r="F27" s="27">
        <f t="shared" si="5"/>
        <v>58.165999999999997</v>
      </c>
      <c r="G27" s="27">
        <f t="shared" si="5"/>
        <v>55.239999999999995</v>
      </c>
      <c r="H27" s="27">
        <f t="shared" si="5"/>
        <v>52.350999999999999</v>
      </c>
      <c r="I27" s="27">
        <f t="shared" si="5"/>
        <v>50.103999999999999</v>
      </c>
      <c r="J27" s="31"/>
      <c r="K27" s="31"/>
      <c r="L27" s="31"/>
    </row>
    <row r="28" spans="1:12" s="24" customFormat="1"/>
    <row r="29" spans="1:12" s="17" customFormat="1">
      <c r="A29" s="17" t="s">
        <v>58</v>
      </c>
      <c r="B29" s="27">
        <f t="shared" ref="B29:L29" si="6">B22</f>
        <v>17.622</v>
      </c>
      <c r="C29" s="27">
        <f t="shared" si="6"/>
        <v>17.661999999999999</v>
      </c>
      <c r="D29" s="27">
        <f t="shared" si="6"/>
        <v>16.616</v>
      </c>
      <c r="E29" s="27">
        <f t="shared" si="6"/>
        <v>18.895999999999994</v>
      </c>
      <c r="F29" s="27">
        <f t="shared" si="6"/>
        <v>17.010000000000002</v>
      </c>
      <c r="G29" s="27">
        <f t="shared" si="6"/>
        <v>16.541</v>
      </c>
      <c r="H29" s="27">
        <f t="shared" si="6"/>
        <v>13.725</v>
      </c>
      <c r="I29" s="27">
        <f t="shared" si="6"/>
        <v>10.889999999999995</v>
      </c>
      <c r="J29" s="27">
        <f t="shared" si="6"/>
        <v>14.084</v>
      </c>
      <c r="K29" s="27">
        <f t="shared" si="6"/>
        <v>13.651999999999999</v>
      </c>
      <c r="L29" s="27">
        <f t="shared" si="6"/>
        <v>11.478</v>
      </c>
    </row>
    <row r="30" spans="1:12" s="33" customFormat="1">
      <c r="A30" s="20" t="s">
        <v>63</v>
      </c>
      <c r="B30" s="20">
        <f>-19.137-C30-D30</f>
        <v>-4.4260000000000002</v>
      </c>
      <c r="C30" s="20">
        <f>-14.711-D30</f>
        <v>-6.0289999999999999</v>
      </c>
      <c r="D30" s="20">
        <v>-8.6820000000000004</v>
      </c>
      <c r="E30" s="20">
        <f>-19.17-F30-G30-H30</f>
        <v>-1.120000000000001</v>
      </c>
      <c r="F30" s="20">
        <f>-18.05-G30-H30</f>
        <v>-9.0570000000000004</v>
      </c>
      <c r="G30" s="20">
        <f>-8.993-H30</f>
        <v>-0.26500000000000057</v>
      </c>
      <c r="H30" s="20">
        <f>-8.728</f>
        <v>-8.7279999999999998</v>
      </c>
      <c r="I30" s="20">
        <f>-18.689-J30-K30-L30</f>
        <v>-1.0289999999999999</v>
      </c>
      <c r="J30" s="20">
        <f>-17.66-K30-L30</f>
        <v>-8.9280000000000008</v>
      </c>
      <c r="K30" s="20">
        <f>-8.732-L30</f>
        <v>0</v>
      </c>
      <c r="L30" s="20">
        <f>-8.732</f>
        <v>-8.7319999999999993</v>
      </c>
    </row>
    <row r="31" spans="1:12" s="33" customFormat="1">
      <c r="A31" s="20" t="s">
        <v>64</v>
      </c>
      <c r="B31" s="20">
        <f>-1.183-C31-D31</f>
        <v>2.2999999999999909E-2</v>
      </c>
      <c r="C31" s="20">
        <f>-1.206-D31</f>
        <v>-0.28099999999999992</v>
      </c>
      <c r="D31" s="20">
        <v>-0.92500000000000004</v>
      </c>
      <c r="E31" s="20">
        <f>-2.143-F31-G31-H31</f>
        <v>-5.5999999999999606E-2</v>
      </c>
      <c r="F31" s="20">
        <f>-2.087-G31-H31</f>
        <v>-0.50200000000000022</v>
      </c>
      <c r="G31" s="20">
        <f>-1.585-H31</f>
        <v>-0.64300000000000002</v>
      </c>
      <c r="H31" s="20">
        <f>-0.942</f>
        <v>-0.94199999999999995</v>
      </c>
      <c r="I31" s="20">
        <f>-1.495-J31-K31-L31</f>
        <v>-0.81899999999999995</v>
      </c>
      <c r="J31" s="20">
        <f>-0.676-K31-L31</f>
        <v>-0.33600000000000002</v>
      </c>
      <c r="K31" s="20">
        <f>-0.34-L31</f>
        <v>0</v>
      </c>
      <c r="L31" s="20">
        <f>-0.34</f>
        <v>-0.34</v>
      </c>
    </row>
    <row r="32" spans="1:12" s="33" customFormat="1">
      <c r="A32" s="20" t="s">
        <v>65</v>
      </c>
      <c r="B32" s="20">
        <f>-0.197-12.592-11.634+2.977+2.329+10.429-C32-D32</f>
        <v>5.7310000000000034</v>
      </c>
      <c r="C32" s="20">
        <f>-1.625-9.733-6.208+2.078-6.709+7.778-D32</f>
        <v>-5.4620000000000051</v>
      </c>
      <c r="D32" s="20">
        <f>2.682-8.501+2.017+4.234-6.014-3.375</f>
        <v>-8.956999999999999</v>
      </c>
      <c r="E32" s="20">
        <f>-18.971-15.278-3.441+1.258+6.224+3.348-F32-G32-H32</f>
        <v>5.659000000000006</v>
      </c>
      <c r="F32" s="20">
        <f>-13.082-27.881-3.722+7.257-5.676+10.585-G32-H32</f>
        <v>-5.9560000000000048</v>
      </c>
      <c r="G32" s="20">
        <f>-8.15-18.877-4.586+0.435+2.906+1.709-H32</f>
        <v>-11.879</v>
      </c>
      <c r="H32" s="20">
        <f>-8.174-10.646-2.265+7.822-1.429+0.008</f>
        <v>-14.684000000000003</v>
      </c>
      <c r="I32" s="20">
        <f>-2.815+5.838-0.006+7.754-7.198-0.076-J32-K32-L32</f>
        <v>11.864000000000001</v>
      </c>
      <c r="J32" s="20">
        <f>2.813+1.604-2.562+1.497-10.848-0.871-L32-K32</f>
        <v>-5.9310000000000018</v>
      </c>
      <c r="K32" s="20">
        <f>5.074+4.174-4.91+3.082-7.723-2.133-L32</f>
        <v>-0.50499999999999967</v>
      </c>
      <c r="L32" s="20">
        <f>6.24+1.564-1.891-0.26-8.853+1.269</f>
        <v>-1.9309999999999994</v>
      </c>
    </row>
    <row r="33" spans="1:12" s="33" customFormat="1">
      <c r="A33" s="20" t="s">
        <v>66</v>
      </c>
      <c r="B33" s="20">
        <f t="shared" ref="B33:D33" si="7">-SUM(B19:B21)</f>
        <v>-9.8960000000000008</v>
      </c>
      <c r="C33" s="20">
        <f t="shared" si="7"/>
        <v>-5.9870000000000001</v>
      </c>
      <c r="D33" s="20">
        <f t="shared" si="7"/>
        <v>-2.8440000000000003</v>
      </c>
      <c r="E33" s="20">
        <f t="shared" ref="E33:L33" si="8">-SUM(E19:E21)</f>
        <v>-4.1859999999999999</v>
      </c>
      <c r="F33" s="20">
        <f t="shared" si="8"/>
        <v>-3.121</v>
      </c>
      <c r="G33" s="20">
        <f t="shared" si="8"/>
        <v>-4.8129999999999997</v>
      </c>
      <c r="H33" s="20">
        <f t="shared" si="8"/>
        <v>-2.2759999999999998</v>
      </c>
      <c r="I33" s="20">
        <f t="shared" si="8"/>
        <v>-3.8169999999999993</v>
      </c>
      <c r="J33" s="20">
        <f t="shared" si="8"/>
        <v>-1.702</v>
      </c>
      <c r="K33" s="20">
        <f t="shared" si="8"/>
        <v>-4.4749999999999996</v>
      </c>
      <c r="L33" s="20">
        <f t="shared" si="8"/>
        <v>-2.29</v>
      </c>
    </row>
    <row r="34" spans="1:12" s="33" customFormat="1">
      <c r="A34" s="20" t="s">
        <v>57</v>
      </c>
      <c r="B34" s="29">
        <f t="shared" ref="B34:D34" si="9">B35-SUM(B29:B33)</f>
        <v>-2.926000000000001</v>
      </c>
      <c r="C34" s="29">
        <f t="shared" si="9"/>
        <v>0.26100000000000662</v>
      </c>
      <c r="D34" s="29">
        <f t="shared" si="9"/>
        <v>5.0569999999999995</v>
      </c>
      <c r="E34" s="29">
        <f t="shared" ref="E34:L34" si="10">E35-SUM(E29:E33)</f>
        <v>-4.7019999999999982</v>
      </c>
      <c r="F34" s="29">
        <f t="shared" si="10"/>
        <v>2.3850000000000047</v>
      </c>
      <c r="G34" s="29">
        <f t="shared" si="10"/>
        <v>-3.6949999999999994</v>
      </c>
      <c r="H34" s="29">
        <f t="shared" si="10"/>
        <v>3.8130000000000024</v>
      </c>
      <c r="I34" s="29">
        <f t="shared" si="10"/>
        <v>-5.2979999999999983</v>
      </c>
      <c r="J34" s="29">
        <f t="shared" si="10"/>
        <v>0.87000000000000455</v>
      </c>
      <c r="K34" s="29">
        <f t="shared" si="10"/>
        <v>5.3999999999998494E-2</v>
      </c>
      <c r="L34" s="29">
        <f t="shared" si="10"/>
        <v>5.4609999999999985</v>
      </c>
    </row>
    <row r="35" spans="1:12" s="27" customFormat="1">
      <c r="A35" s="27" t="s">
        <v>67</v>
      </c>
      <c r="B35" s="27">
        <f>6.557-C35-D35</f>
        <v>6.128000000000001</v>
      </c>
      <c r="C35" s="27">
        <f>0.429-D35</f>
        <v>0.16399999999999998</v>
      </c>
      <c r="D35" s="27">
        <v>0.26500000000000001</v>
      </c>
      <c r="E35" s="27">
        <f>1.404-F35-G35-H35</f>
        <v>14.491</v>
      </c>
      <c r="F35" s="27">
        <f>-13.087-G35-H35</f>
        <v>0.75900000000000034</v>
      </c>
      <c r="G35" s="27">
        <f>-13.846-H35</f>
        <v>-4.7539999999999996</v>
      </c>
      <c r="H35" s="27">
        <v>-9.0920000000000005</v>
      </c>
      <c r="I35" s="27">
        <f>22.22-J35-K35-L35</f>
        <v>11.790999999999997</v>
      </c>
      <c r="J35" s="27">
        <f>10.429-K35-L35</f>
        <v>-1.9429999999999987</v>
      </c>
      <c r="K35" s="27">
        <f>12.372-L35</f>
        <v>8.7259999999999991</v>
      </c>
      <c r="L35" s="27">
        <f>3.646</f>
        <v>3.6459999999999999</v>
      </c>
    </row>
    <row r="36" spans="1:12" s="33" customFormat="1">
      <c r="A36" s="20" t="s">
        <v>68</v>
      </c>
      <c r="B36" s="29">
        <f>-14.43-C36-D36</f>
        <v>-4.0070000000000006</v>
      </c>
      <c r="C36" s="29">
        <f>-10.423-D36</f>
        <v>-5.9210000000000003</v>
      </c>
      <c r="D36" s="29">
        <v>-4.5019999999999998</v>
      </c>
      <c r="E36" s="29">
        <f>-18.962-F36-G36-H36</f>
        <v>-8.4480000000000004</v>
      </c>
      <c r="F36" s="29">
        <f>-10.514-G36-H36</f>
        <v>-4.8499999999999996</v>
      </c>
      <c r="G36" s="29">
        <f>-5.664-H36</f>
        <v>-3.0209999999999999</v>
      </c>
      <c r="H36" s="29">
        <f>-2.643</f>
        <v>-2.6429999999999998</v>
      </c>
      <c r="I36" s="29">
        <f>-12.388-J36-K36-L36</f>
        <v>-6.4209999999999994</v>
      </c>
      <c r="J36" s="29">
        <f>-5.967-K36-L36</f>
        <v>-2.3559999999999994</v>
      </c>
      <c r="K36" s="29">
        <f>-3.611-L36</f>
        <v>-2.0910000000000002</v>
      </c>
      <c r="L36" s="29">
        <f>-1.52</f>
        <v>-1.52</v>
      </c>
    </row>
    <row r="37" spans="1:12" s="27" customFormat="1">
      <c r="A37" s="27" t="s">
        <v>69</v>
      </c>
      <c r="B37" s="27">
        <f>+B35+B36</f>
        <v>2.1210000000000004</v>
      </c>
      <c r="C37" s="27">
        <f>+C35+C36</f>
        <v>-5.7570000000000006</v>
      </c>
      <c r="D37" s="27">
        <f>+D35+D36</f>
        <v>-4.2370000000000001</v>
      </c>
      <c r="E37" s="27">
        <f>+E35+E36</f>
        <v>6.0429999999999993</v>
      </c>
      <c r="F37" s="27">
        <f t="shared" ref="F37:L37" si="11">+F35+F36</f>
        <v>-4.0909999999999993</v>
      </c>
      <c r="G37" s="27">
        <f t="shared" si="11"/>
        <v>-7.7749999999999995</v>
      </c>
      <c r="H37" s="27">
        <f t="shared" si="11"/>
        <v>-11.734999999999999</v>
      </c>
      <c r="I37" s="27">
        <f t="shared" si="11"/>
        <v>5.3699999999999974</v>
      </c>
      <c r="J37" s="27">
        <f t="shared" si="11"/>
        <v>-4.2989999999999977</v>
      </c>
      <c r="K37" s="27">
        <f t="shared" si="11"/>
        <v>6.6349999999999989</v>
      </c>
      <c r="L37" s="27">
        <f t="shared" si="11"/>
        <v>2.1259999999999999</v>
      </c>
    </row>
    <row r="39" spans="1:12" s="35" customFormat="1">
      <c r="A39" s="34" t="s">
        <v>70</v>
      </c>
      <c r="B39" s="20">
        <v>0</v>
      </c>
      <c r="C39" s="20">
        <v>0</v>
      </c>
      <c r="D39" s="20">
        <v>0</v>
      </c>
      <c r="E39" s="20">
        <v>0</v>
      </c>
      <c r="F39" s="20">
        <v>25.7</v>
      </c>
      <c r="G39" s="20">
        <v>22.7</v>
      </c>
      <c r="H39" s="20">
        <v>16</v>
      </c>
      <c r="I39" s="20">
        <v>5</v>
      </c>
      <c r="J39" s="20"/>
      <c r="K39" s="20"/>
      <c r="L39" s="20"/>
    </row>
    <row r="40" spans="1:12" s="35" customFormat="1">
      <c r="A40" s="34" t="s">
        <v>71</v>
      </c>
      <c r="B40" s="20">
        <v>299</v>
      </c>
      <c r="C40" s="20">
        <v>300</v>
      </c>
      <c r="D40" s="20">
        <v>300</v>
      </c>
      <c r="E40" s="20">
        <v>300</v>
      </c>
      <c r="F40" s="20">
        <v>0.377</v>
      </c>
      <c r="G40" s="20">
        <v>0.191</v>
      </c>
      <c r="H40" s="20">
        <v>0.17</v>
      </c>
      <c r="I40" s="20">
        <v>0.17599999999999999</v>
      </c>
      <c r="J40" s="20"/>
      <c r="K40" s="20"/>
      <c r="L40" s="20"/>
    </row>
    <row r="41" spans="1:12" s="35" customFormat="1">
      <c r="A41" s="34" t="s">
        <v>72</v>
      </c>
      <c r="B41" s="20">
        <f>277+32.6</f>
        <v>309.60000000000002</v>
      </c>
      <c r="C41" s="20">
        <f>277.3+33.8</f>
        <v>311.10000000000002</v>
      </c>
      <c r="D41" s="20">
        <f>D39+D40+11</f>
        <v>311</v>
      </c>
      <c r="E41" s="20">
        <f>E39+E40+11</f>
        <v>311</v>
      </c>
      <c r="F41" s="20">
        <v>263.38099999999997</v>
      </c>
      <c r="G41" s="20">
        <v>260.02</v>
      </c>
      <c r="H41" s="20">
        <v>254.21</v>
      </c>
      <c r="I41" s="20">
        <v>241.74299999999999</v>
      </c>
      <c r="J41" s="20"/>
      <c r="K41" s="20"/>
      <c r="L41" s="20"/>
    </row>
    <row r="42" spans="1:12" s="35" customFormat="1">
      <c r="A42" s="34" t="s">
        <v>73</v>
      </c>
      <c r="B42" s="36">
        <v>0</v>
      </c>
      <c r="C42" s="36">
        <v>0</v>
      </c>
      <c r="D42" s="36">
        <v>0</v>
      </c>
      <c r="E42" s="36">
        <v>0</v>
      </c>
      <c r="F42" s="36">
        <v>0</v>
      </c>
      <c r="G42" s="36">
        <v>0</v>
      </c>
      <c r="H42" s="36">
        <v>0</v>
      </c>
      <c r="I42" s="36">
        <v>0</v>
      </c>
      <c r="J42" s="36"/>
      <c r="K42" s="36"/>
      <c r="L42" s="36"/>
    </row>
    <row r="43" spans="1:12">
      <c r="B43" s="33"/>
      <c r="C43" s="33"/>
      <c r="D43" s="35"/>
      <c r="E43" s="35"/>
      <c r="F43" s="35"/>
      <c r="G43" s="35"/>
    </row>
    <row r="44" spans="1:12">
      <c r="A44" s="19" t="s">
        <v>74</v>
      </c>
      <c r="B44" s="28">
        <v>30.821000000000002</v>
      </c>
      <c r="C44" s="28">
        <v>32.683</v>
      </c>
      <c r="D44" s="28">
        <v>11.694000000000001</v>
      </c>
      <c r="E44" s="28">
        <v>47</v>
      </c>
      <c r="F44" s="28">
        <v>6.5910000000000002</v>
      </c>
      <c r="G44" s="28">
        <f>6.991</f>
        <v>6.9909999999999997</v>
      </c>
      <c r="H44" s="28">
        <v>10.46</v>
      </c>
      <c r="I44" s="28">
        <v>12.204000000000001</v>
      </c>
      <c r="J44" s="57"/>
      <c r="K44" s="57"/>
      <c r="L44" s="57"/>
    </row>
    <row r="46" spans="1:12">
      <c r="A46" s="14" t="s">
        <v>75</v>
      </c>
      <c r="B46" s="33">
        <f>SUM(B12:E12)</f>
        <v>450.98599999999999</v>
      </c>
      <c r="C46" s="33">
        <f>SUM(C12:F12)</f>
        <v>450.15000000000003</v>
      </c>
      <c r="D46" s="33">
        <f>SUM(D12:G12)</f>
        <v>449.68</v>
      </c>
      <c r="E46" s="51">
        <v>449</v>
      </c>
      <c r="F46" s="33">
        <f>SUM(F12:I12)</f>
        <v>431.05</v>
      </c>
      <c r="G46" s="33">
        <f>SUM(G12:J12)</f>
        <v>421.80800000000005</v>
      </c>
      <c r="H46" s="33">
        <f>SUM(H12:K12)</f>
        <v>406.57</v>
      </c>
      <c r="I46" s="33">
        <f>SUM(I12:L12)</f>
        <v>390.04500000000002</v>
      </c>
    </row>
    <row r="47" spans="1:12">
      <c r="A47" s="14" t="s">
        <v>76</v>
      </c>
      <c r="B47" s="33">
        <f>+B27</f>
        <v>70.795999999999992</v>
      </c>
      <c r="C47" s="33">
        <f>+C27</f>
        <v>70.183999999999997</v>
      </c>
      <c r="D47" s="33">
        <f>+D27</f>
        <v>69.062999999999988</v>
      </c>
      <c r="E47" s="51">
        <v>69</v>
      </c>
      <c r="F47" s="33">
        <f>+F27</f>
        <v>58.165999999999997</v>
      </c>
      <c r="G47" s="33">
        <f>+G27</f>
        <v>55.239999999999995</v>
      </c>
      <c r="H47" s="33">
        <f>+H27</f>
        <v>52.350999999999999</v>
      </c>
      <c r="I47" s="33">
        <f>+I27</f>
        <v>50.103999999999999</v>
      </c>
    </row>
    <row r="48" spans="1:12">
      <c r="A48" s="14" t="s">
        <v>77</v>
      </c>
      <c r="B48" s="33">
        <f t="shared" ref="B48:I48" si="12">+SUM(B37:E37)</f>
        <v>-1.830000000000001</v>
      </c>
      <c r="C48" s="33">
        <f t="shared" si="12"/>
        <v>-8.0419999999999998</v>
      </c>
      <c r="D48" s="33">
        <f t="shared" si="12"/>
        <v>-10.059999999999999</v>
      </c>
      <c r="E48" s="33">
        <f t="shared" si="12"/>
        <v>-17.558</v>
      </c>
      <c r="F48" s="33">
        <f t="shared" si="12"/>
        <v>-18.231000000000002</v>
      </c>
      <c r="G48" s="33">
        <f t="shared" si="12"/>
        <v>-18.439</v>
      </c>
      <c r="H48" s="33">
        <f t="shared" si="12"/>
        <v>-4.0290000000000008</v>
      </c>
      <c r="I48" s="33">
        <f t="shared" si="12"/>
        <v>9.831999999999999</v>
      </c>
    </row>
    <row r="50" spans="1:12" s="37" customFormat="1">
      <c r="A50" s="37" t="s">
        <v>78</v>
      </c>
      <c r="B50" s="37">
        <f t="shared" ref="B50" si="13">+SUM(B39:B40)/B47</f>
        <v>4.2234024521159395</v>
      </c>
      <c r="C50" s="37">
        <f t="shared" ref="C50:I50" si="14">+SUM(C39:C40)/C47</f>
        <v>4.2744785136213386</v>
      </c>
      <c r="D50" s="37">
        <f t="shared" si="14"/>
        <v>4.3438599539550848</v>
      </c>
      <c r="E50" s="37">
        <f t="shared" si="14"/>
        <v>4.3478260869565215</v>
      </c>
      <c r="F50" s="37">
        <f t="shared" si="14"/>
        <v>0.44832032458824744</v>
      </c>
      <c r="G50" s="37">
        <f t="shared" si="14"/>
        <v>0.41439174511223753</v>
      </c>
      <c r="H50" s="37">
        <f t="shared" si="14"/>
        <v>0.30887662126797966</v>
      </c>
      <c r="I50" s="37">
        <f t="shared" si="14"/>
        <v>0.10330512533929427</v>
      </c>
    </row>
    <row r="51" spans="1:12" s="37" customFormat="1">
      <c r="A51" s="37" t="s">
        <v>79</v>
      </c>
      <c r="B51" s="37">
        <f t="shared" ref="B51:I51" si="15">+B41/B47</f>
        <v>4.3731284253347651</v>
      </c>
      <c r="C51" s="37">
        <f t="shared" si="15"/>
        <v>4.4326342186253278</v>
      </c>
      <c r="D51" s="37">
        <f t="shared" si="15"/>
        <v>4.5031348189334386</v>
      </c>
      <c r="E51" s="37">
        <f t="shared" si="15"/>
        <v>4.5072463768115938</v>
      </c>
      <c r="F51" s="37">
        <f t="shared" si="15"/>
        <v>4.5280920125159021</v>
      </c>
      <c r="G51" s="37">
        <f t="shared" si="15"/>
        <v>4.707096307023896</v>
      </c>
      <c r="H51" s="37">
        <f t="shared" si="15"/>
        <v>4.855876678573475</v>
      </c>
      <c r="I51" s="37">
        <f t="shared" si="15"/>
        <v>4.8248243653201337</v>
      </c>
    </row>
    <row r="52" spans="1:12" s="37" customFormat="1">
      <c r="A52" s="37" t="s">
        <v>80</v>
      </c>
      <c r="B52" s="37">
        <f t="shared" ref="B52:I52" si="16">+(B41-B44)/B47</f>
        <v>3.9377789705633091</v>
      </c>
      <c r="C52" s="37">
        <f t="shared" si="16"/>
        <v>3.9669582810897075</v>
      </c>
      <c r="D52" s="37">
        <f t="shared" si="16"/>
        <v>4.3338111579282685</v>
      </c>
      <c r="E52" s="37">
        <f t="shared" si="16"/>
        <v>3.8260869565217392</v>
      </c>
      <c r="F52" s="37">
        <f t="shared" si="16"/>
        <v>4.4147783928755624</v>
      </c>
      <c r="G52" s="37">
        <f t="shared" si="16"/>
        <v>4.5805394641564083</v>
      </c>
      <c r="H52" s="37">
        <f t="shared" si="16"/>
        <v>4.6560715172585052</v>
      </c>
      <c r="I52" s="37">
        <f t="shared" si="16"/>
        <v>4.5812509979243172</v>
      </c>
    </row>
    <row r="53" spans="1:12" s="38" customFormat="1">
      <c r="A53" s="38" t="s">
        <v>81</v>
      </c>
      <c r="B53" s="38">
        <f t="shared" ref="B53:I53" si="17">+B48/B41</f>
        <v>-5.9108527131782971E-3</v>
      </c>
      <c r="C53" s="38">
        <f t="shared" si="17"/>
        <v>-2.5850208936033427E-2</v>
      </c>
      <c r="D53" s="38">
        <f t="shared" si="17"/>
        <v>-3.2347266881028937E-2</v>
      </c>
      <c r="E53" s="38">
        <f t="shared" si="17"/>
        <v>-5.6456591639871385E-2</v>
      </c>
      <c r="F53" s="38">
        <f t="shared" si="17"/>
        <v>-6.921911603342687E-2</v>
      </c>
      <c r="G53" s="38">
        <f t="shared" si="17"/>
        <v>-7.0913775863395132E-2</v>
      </c>
      <c r="H53" s="38">
        <f t="shared" si="17"/>
        <v>-1.5849101136855358E-2</v>
      </c>
      <c r="I53" s="38">
        <f t="shared" si="17"/>
        <v>4.0671291412781342E-2</v>
      </c>
    </row>
    <row r="54" spans="1:12" s="38" customFormat="1">
      <c r="A54" s="39" t="s">
        <v>82</v>
      </c>
      <c r="B54" s="40">
        <v>10</v>
      </c>
      <c r="C54" s="40">
        <v>10</v>
      </c>
      <c r="D54" s="40">
        <v>10</v>
      </c>
      <c r="E54" s="40">
        <v>10</v>
      </c>
      <c r="F54" s="40">
        <v>10</v>
      </c>
      <c r="G54" s="40">
        <v>10</v>
      </c>
      <c r="H54" s="40">
        <v>10</v>
      </c>
      <c r="I54" s="40">
        <v>10</v>
      </c>
      <c r="J54" s="39"/>
      <c r="K54" s="39"/>
      <c r="L54" s="39"/>
    </row>
    <row r="55" spans="1:12" s="38" customFormat="1">
      <c r="A55" s="38" t="s">
        <v>83</v>
      </c>
      <c r="B55" s="41" t="str">
        <f t="shared" ref="B55:I55" si="18">IF(B42=0,IF(B54="","","*"&amp;TEXT(B54,"0.0x")),(B41+B42-B44)/B47)</f>
        <v>*10.0x</v>
      </c>
      <c r="C55" s="41" t="str">
        <f t="shared" si="18"/>
        <v>*10.0x</v>
      </c>
      <c r="D55" s="41" t="str">
        <f t="shared" si="18"/>
        <v>*10.0x</v>
      </c>
      <c r="E55" s="41" t="str">
        <f t="shared" si="18"/>
        <v>*10.0x</v>
      </c>
      <c r="F55" s="41" t="str">
        <f t="shared" si="18"/>
        <v>*10.0x</v>
      </c>
      <c r="G55" s="41" t="str">
        <f t="shared" si="18"/>
        <v>*10.0x</v>
      </c>
      <c r="H55" s="41" t="str">
        <f t="shared" si="18"/>
        <v>*10.0x</v>
      </c>
      <c r="I55" s="41" t="str">
        <f t="shared" si="18"/>
        <v>*10.0x</v>
      </c>
      <c r="J55" s="41" t="str">
        <f>IF(J42=0,IF(J54="","",CONCATENATE("* ",J54,"x")),(J41+J42-J44)/J47)</f>
        <v/>
      </c>
      <c r="K55" s="41" t="str">
        <f>IF(K42=0,IF(K54="","",CONCATENATE("* ",K54,"x")),(K41+K42-K44)/K47)</f>
        <v/>
      </c>
      <c r="L55" s="41" t="str">
        <f>IF(L42=0,IF(L54="","",CONCATENATE("* ",L54,"x")),(L41+L42-L44)/L47)</f>
        <v/>
      </c>
    </row>
    <row r="56" spans="1:12">
      <c r="I56" s="42"/>
    </row>
    <row r="57" spans="1:12" ht="80.25" customHeight="1">
      <c r="A57" s="43" t="s">
        <v>84</v>
      </c>
      <c r="B57" s="44"/>
      <c r="C57" s="44" t="s">
        <v>296</v>
      </c>
      <c r="D57" s="44" t="s">
        <v>289</v>
      </c>
      <c r="E57" s="44" t="s">
        <v>234</v>
      </c>
      <c r="F57" s="44"/>
      <c r="G57" s="44"/>
      <c r="H57" s="44"/>
      <c r="I57" s="44"/>
      <c r="J57" s="44"/>
      <c r="K57" s="44"/>
      <c r="L57" s="44"/>
    </row>
    <row r="58" spans="1:12">
      <c r="A58" s="45"/>
      <c r="B58" s="42"/>
      <c r="C58" s="42"/>
      <c r="D58" s="42"/>
      <c r="E58" s="42"/>
    </row>
    <row r="59" spans="1:12">
      <c r="A59" s="45"/>
    </row>
  </sheetData>
  <pageMargins left="0.7" right="0.7" top="0.75" bottom="0.75" header="0.3" footer="0.3"/>
  <pageSetup orientation="portrait" r:id="rId1"/>
  <legacy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2:M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0" sqref="B10"/>
    </sheetView>
  </sheetViews>
  <sheetFormatPr defaultColWidth="9.109375" defaultRowHeight="13.8"/>
  <cols>
    <col min="1" max="1" width="22.6640625" style="14" customWidth="1"/>
    <col min="2" max="10" width="10.6640625" style="14" customWidth="1"/>
    <col min="11" max="16384" width="9.109375" style="14"/>
  </cols>
  <sheetData>
    <row r="2" spans="1:10">
      <c r="A2" s="13" t="s">
        <v>44</v>
      </c>
      <c r="B2" s="14" t="s">
        <v>213</v>
      </c>
    </row>
    <row r="3" spans="1:10" s="16" customFormat="1">
      <c r="A3" s="15" t="s">
        <v>45</v>
      </c>
      <c r="B3" s="16" t="s">
        <v>212</v>
      </c>
    </row>
    <row r="4" spans="1:10">
      <c r="A4" s="13" t="s">
        <v>2</v>
      </c>
      <c r="B4" s="14" t="s">
        <v>4</v>
      </c>
    </row>
    <row r="5" spans="1:10">
      <c r="A5" s="13" t="s">
        <v>46</v>
      </c>
    </row>
    <row r="6" spans="1:10">
      <c r="A6" s="13" t="s">
        <v>47</v>
      </c>
      <c r="B6" s="14">
        <v>3</v>
      </c>
    </row>
    <row r="7" spans="1:10">
      <c r="A7" s="13" t="s">
        <v>48</v>
      </c>
      <c r="B7" s="14" t="s">
        <v>448</v>
      </c>
    </row>
    <row r="8" spans="1:10">
      <c r="A8" s="13" t="s">
        <v>347</v>
      </c>
      <c r="B8" s="14" t="s">
        <v>366</v>
      </c>
    </row>
    <row r="9" spans="1:10">
      <c r="A9" s="17"/>
    </row>
    <row r="10" spans="1:10">
      <c r="A10" s="17" t="s">
        <v>49</v>
      </c>
      <c r="B10" s="18">
        <v>43646</v>
      </c>
      <c r="C10" s="18">
        <v>43465</v>
      </c>
      <c r="D10" s="18">
        <v>43281</v>
      </c>
      <c r="E10" s="18">
        <v>43100</v>
      </c>
      <c r="F10" s="18">
        <v>42916</v>
      </c>
      <c r="G10" s="18">
        <f>EOMONTH(F10,-6)</f>
        <v>42735</v>
      </c>
      <c r="H10" s="18">
        <f t="shared" ref="H10:J10" si="0">EOMONTH(G10,-6)</f>
        <v>42551</v>
      </c>
      <c r="I10" s="18">
        <f t="shared" si="0"/>
        <v>42369</v>
      </c>
      <c r="J10" s="18">
        <f t="shared" si="0"/>
        <v>42185</v>
      </c>
    </row>
    <row r="12" spans="1:10">
      <c r="A12" s="19" t="s">
        <v>50</v>
      </c>
      <c r="B12" s="20">
        <v>1708.1</v>
      </c>
      <c r="C12" s="20">
        <f>3472.8-D12</f>
        <v>1705.5000000000002</v>
      </c>
      <c r="D12" s="20">
        <v>1767.3</v>
      </c>
      <c r="E12" s="20">
        <f>3490.9-F12</f>
        <v>1713.9</v>
      </c>
      <c r="F12" s="20">
        <v>1777</v>
      </c>
      <c r="G12" s="20"/>
      <c r="H12" s="20"/>
      <c r="I12" s="20"/>
      <c r="J12" s="20"/>
    </row>
    <row r="13" spans="1:10" s="21" customFormat="1">
      <c r="A13" s="21" t="s">
        <v>51</v>
      </c>
      <c r="B13" s="21">
        <f>B12/D12-1</f>
        <v>-3.3497425451253338E-2</v>
      </c>
      <c r="C13" s="21">
        <f>C12/E12-1</f>
        <v>-4.9011027481182801E-3</v>
      </c>
      <c r="D13" s="21">
        <f>D12/F12-1</f>
        <v>-5.4586381541924522E-3</v>
      </c>
    </row>
    <row r="14" spans="1:10" s="24" customFormat="1">
      <c r="A14" s="22" t="s">
        <v>52</v>
      </c>
      <c r="B14" s="23" t="s">
        <v>3</v>
      </c>
      <c r="C14" s="23" t="s">
        <v>3</v>
      </c>
      <c r="D14" s="129" t="s">
        <v>3</v>
      </c>
      <c r="E14" s="23"/>
      <c r="F14" s="23"/>
      <c r="G14" s="23"/>
      <c r="H14" s="23"/>
      <c r="I14" s="23"/>
      <c r="J14" s="22"/>
    </row>
    <row r="16" spans="1:10" s="17" customFormat="1">
      <c r="A16" s="25" t="s">
        <v>53</v>
      </c>
      <c r="B16" s="26">
        <v>245.9</v>
      </c>
      <c r="C16" s="26">
        <f>484.3-D16</f>
        <v>228</v>
      </c>
      <c r="D16" s="26">
        <v>256.3</v>
      </c>
      <c r="E16" s="26">
        <f>490.7-F16</f>
        <v>234.89999999999998</v>
      </c>
      <c r="F16" s="26">
        <v>255.8</v>
      </c>
      <c r="G16" s="26"/>
      <c r="H16" s="26"/>
      <c r="I16" s="26"/>
      <c r="J16" s="26"/>
    </row>
    <row r="17" spans="1:13" s="21" customFormat="1">
      <c r="A17" s="21" t="s">
        <v>54</v>
      </c>
      <c r="B17" s="21">
        <f t="shared" ref="B17:C17" si="1">+B16/B12</f>
        <v>0.14396112639775191</v>
      </c>
      <c r="C17" s="21">
        <f t="shared" si="1"/>
        <v>0.13368513632365872</v>
      </c>
      <c r="D17" s="21">
        <f t="shared" ref="D17:F17" si="2">+D16/D12</f>
        <v>0.14502348214790925</v>
      </c>
      <c r="E17" s="21">
        <f t="shared" si="2"/>
        <v>0.13705583756345174</v>
      </c>
      <c r="F17" s="21">
        <f t="shared" si="2"/>
        <v>0.14395047833427124</v>
      </c>
    </row>
    <row r="18" spans="1:13" s="24" customFormat="1"/>
    <row r="19" spans="1:13" s="24" customFormat="1">
      <c r="A19" s="19" t="s">
        <v>55</v>
      </c>
      <c r="B19" s="20">
        <v>0</v>
      </c>
      <c r="C19" s="20">
        <v>0</v>
      </c>
      <c r="D19" s="20">
        <v>0</v>
      </c>
      <c r="E19" s="20">
        <v>0</v>
      </c>
      <c r="F19" s="20">
        <v>0</v>
      </c>
      <c r="G19" s="20"/>
      <c r="H19" s="20"/>
      <c r="I19" s="20"/>
      <c r="J19" s="20"/>
    </row>
    <row r="20" spans="1:13" s="24" customFormat="1">
      <c r="A20" s="19" t="s">
        <v>56</v>
      </c>
      <c r="B20" s="20">
        <v>0</v>
      </c>
      <c r="C20" s="20">
        <v>0</v>
      </c>
      <c r="D20" s="20">
        <v>0</v>
      </c>
      <c r="E20" s="20">
        <v>0</v>
      </c>
      <c r="F20" s="20">
        <v>0</v>
      </c>
      <c r="G20" s="20"/>
      <c r="H20" s="20"/>
      <c r="I20" s="20"/>
      <c r="J20" s="20"/>
    </row>
    <row r="21" spans="1:13" s="24" customFormat="1">
      <c r="A21" s="19" t="s">
        <v>57</v>
      </c>
      <c r="B21" s="20">
        <v>0</v>
      </c>
      <c r="C21" s="20">
        <v>0</v>
      </c>
      <c r="D21" s="20">
        <v>0</v>
      </c>
      <c r="E21" s="20">
        <v>0</v>
      </c>
      <c r="F21" s="20">
        <v>0</v>
      </c>
      <c r="G21" s="20"/>
      <c r="H21" s="20"/>
      <c r="I21" s="20"/>
      <c r="J21" s="20"/>
    </row>
    <row r="22" spans="1:13" s="17" customFormat="1">
      <c r="A22" s="17" t="s">
        <v>58</v>
      </c>
      <c r="B22" s="27">
        <f>B16+B19+B20+B21</f>
        <v>245.9</v>
      </c>
      <c r="C22" s="27">
        <f>C16+C19+C20+C21</f>
        <v>228</v>
      </c>
      <c r="D22" s="27">
        <f>D16+D19+D20+D21</f>
        <v>256.3</v>
      </c>
      <c r="E22" s="27">
        <f t="shared" ref="E22:F22" si="3">E16+E19+E20+E21</f>
        <v>234.89999999999998</v>
      </c>
      <c r="F22" s="27">
        <f t="shared" si="3"/>
        <v>255.8</v>
      </c>
      <c r="G22" s="27"/>
      <c r="H22" s="27"/>
      <c r="I22" s="27"/>
      <c r="J22" s="27"/>
    </row>
    <row r="23" spans="1:13" s="17" customFormat="1">
      <c r="B23" s="21"/>
      <c r="C23" s="21"/>
      <c r="D23" s="27"/>
      <c r="E23" s="27"/>
      <c r="F23" s="27"/>
      <c r="G23" s="27"/>
      <c r="H23" s="27"/>
      <c r="I23" s="27"/>
      <c r="J23" s="27"/>
    </row>
    <row r="24" spans="1:13" s="17" customFormat="1">
      <c r="A24" s="17" t="s">
        <v>59</v>
      </c>
      <c r="B24" s="27">
        <f>B22+C22</f>
        <v>473.9</v>
      </c>
      <c r="C24" s="27">
        <f>C22+D22</f>
        <v>484.3</v>
      </c>
      <c r="D24" s="27">
        <f>D22+E22</f>
        <v>491.2</v>
      </c>
      <c r="E24" s="27">
        <f>E22+F22</f>
        <v>490.7</v>
      </c>
      <c r="F24" s="27"/>
      <c r="G24" s="27"/>
      <c r="H24" s="27"/>
      <c r="I24" s="27"/>
      <c r="J24" s="27"/>
      <c r="M24" s="14"/>
    </row>
    <row r="25" spans="1:13" s="24" customFormat="1">
      <c r="A25" s="19" t="s">
        <v>60</v>
      </c>
      <c r="B25" s="28">
        <v>0</v>
      </c>
      <c r="C25" s="28">
        <v>0</v>
      </c>
      <c r="D25" s="28">
        <v>0</v>
      </c>
      <c r="E25" s="28">
        <v>0</v>
      </c>
      <c r="F25" s="28"/>
      <c r="G25" s="28"/>
      <c r="H25" s="28"/>
      <c r="I25" s="28"/>
      <c r="J25" s="28"/>
    </row>
    <row r="26" spans="1:13" s="24" customFormat="1">
      <c r="A26" s="19" t="s">
        <v>61</v>
      </c>
      <c r="B26" s="29">
        <v>0</v>
      </c>
      <c r="C26" s="29">
        <v>0</v>
      </c>
      <c r="D26" s="29">
        <v>0</v>
      </c>
      <c r="E26" s="29">
        <v>0</v>
      </c>
      <c r="F26" s="29"/>
      <c r="G26" s="29"/>
      <c r="H26" s="29"/>
      <c r="I26" s="29"/>
      <c r="J26" s="29"/>
    </row>
    <row r="27" spans="1:13" s="32" customFormat="1">
      <c r="A27" s="17" t="s">
        <v>62</v>
      </c>
      <c r="B27" s="27">
        <f>B24+B25+B26</f>
        <v>473.9</v>
      </c>
      <c r="C27" s="27">
        <f>C24+C25+C26</f>
        <v>484.3</v>
      </c>
      <c r="D27" s="27">
        <f>D24+D25+D26</f>
        <v>491.2</v>
      </c>
      <c r="E27" s="27">
        <f>E24+E25+E26</f>
        <v>490.7</v>
      </c>
      <c r="F27" s="27"/>
      <c r="G27" s="27"/>
      <c r="H27" s="27"/>
      <c r="I27" s="27"/>
      <c r="J27" s="27"/>
    </row>
    <row r="28" spans="1:13" s="24" customFormat="1"/>
    <row r="29" spans="1:13" s="17" customFormat="1">
      <c r="A29" s="17" t="s">
        <v>58</v>
      </c>
      <c r="B29" s="27">
        <f>B22</f>
        <v>245.9</v>
      </c>
      <c r="C29" s="27">
        <f>C22</f>
        <v>228</v>
      </c>
      <c r="D29" s="27">
        <f>D22</f>
        <v>256.3</v>
      </c>
      <c r="E29" s="27">
        <f>E22</f>
        <v>234.89999999999998</v>
      </c>
      <c r="F29" s="27">
        <f>F22</f>
        <v>255.8</v>
      </c>
      <c r="G29" s="27"/>
      <c r="H29" s="27"/>
      <c r="I29" s="27"/>
      <c r="J29" s="27"/>
    </row>
    <row r="30" spans="1:13" s="33" customFormat="1">
      <c r="A30" s="20" t="s">
        <v>63</v>
      </c>
      <c r="B30" s="20">
        <v>-30.8</v>
      </c>
      <c r="C30" s="20">
        <f>-62.5-D30</f>
        <v>-34</v>
      </c>
      <c r="D30" s="20">
        <v>-28.5</v>
      </c>
      <c r="E30" s="20">
        <f>-87.7-F30</f>
        <v>-44.6</v>
      </c>
      <c r="F30" s="20">
        <v>-43.1</v>
      </c>
      <c r="G30" s="20"/>
      <c r="H30" s="20"/>
      <c r="I30" s="20"/>
      <c r="J30" s="20"/>
    </row>
    <row r="31" spans="1:13" s="33" customFormat="1">
      <c r="A31" s="20" t="s">
        <v>64</v>
      </c>
      <c r="B31" s="20">
        <v>-45.6</v>
      </c>
      <c r="C31" s="20">
        <f>-88.2-D31</f>
        <v>-41.5</v>
      </c>
      <c r="D31" s="20">
        <v>-46.7</v>
      </c>
      <c r="E31" s="20">
        <f>-88.9-F31</f>
        <v>-37.300000000000004</v>
      </c>
      <c r="F31" s="20">
        <v>-51.6</v>
      </c>
      <c r="G31" s="20"/>
      <c r="H31" s="20"/>
      <c r="I31" s="20"/>
      <c r="J31" s="20"/>
    </row>
    <row r="32" spans="1:13" s="33" customFormat="1">
      <c r="A32" s="20" t="s">
        <v>65</v>
      </c>
      <c r="B32" s="20">
        <v>-56.6</v>
      </c>
      <c r="C32" s="20">
        <f>-27.5-D32</f>
        <v>62.400000000000006</v>
      </c>
      <c r="D32" s="20">
        <v>-89.9</v>
      </c>
      <c r="E32" s="20">
        <f>-26.2-47.5-F32</f>
        <v>-3</v>
      </c>
      <c r="F32" s="20">
        <v>-70.7</v>
      </c>
      <c r="G32" s="20"/>
      <c r="H32" s="20"/>
      <c r="I32" s="20"/>
      <c r="J32" s="20"/>
    </row>
    <row r="33" spans="1:12" s="33" customFormat="1">
      <c r="A33" s="20" t="s">
        <v>66</v>
      </c>
      <c r="B33" s="20">
        <v>0</v>
      </c>
      <c r="C33" s="20">
        <v>0</v>
      </c>
      <c r="D33" s="20">
        <v>0</v>
      </c>
      <c r="E33" s="20">
        <v>0</v>
      </c>
      <c r="F33" s="20">
        <v>0</v>
      </c>
      <c r="G33" s="20"/>
      <c r="H33" s="20"/>
      <c r="I33" s="20"/>
      <c r="J33" s="20"/>
    </row>
    <row r="34" spans="1:12" s="33" customFormat="1">
      <c r="A34" s="20" t="s">
        <v>57</v>
      </c>
      <c r="B34" s="29">
        <f>B35-B29-B30-B31-B32-B33</f>
        <v>-6.6999999999999886</v>
      </c>
      <c r="C34" s="29">
        <f>C35-C29-C30-C31-C32-C33</f>
        <v>-6.7000000000000171</v>
      </c>
      <c r="D34" s="29">
        <f>D35-D29-D30-D31-D32-D33</f>
        <v>-2.3999999999999915</v>
      </c>
      <c r="E34" s="29">
        <f>E35-E29-E30-E31-E32-E33</f>
        <v>5.0000000000000284</v>
      </c>
      <c r="F34" s="29">
        <f>F35-F29-F30-F31-F32-F33</f>
        <v>-8.0000000000000142</v>
      </c>
      <c r="G34" s="29"/>
      <c r="H34" s="29"/>
      <c r="I34" s="29"/>
      <c r="J34" s="29"/>
    </row>
    <row r="35" spans="1:12" s="27" customFormat="1">
      <c r="A35" s="27" t="s">
        <v>67</v>
      </c>
      <c r="B35" s="27">
        <v>106.2</v>
      </c>
      <c r="C35" s="27">
        <f>297-D35</f>
        <v>208.2</v>
      </c>
      <c r="D35" s="27">
        <v>88.8</v>
      </c>
      <c r="E35" s="27">
        <f>237.4-F35</f>
        <v>155</v>
      </c>
      <c r="F35" s="27">
        <v>82.4</v>
      </c>
    </row>
    <row r="36" spans="1:12" s="33" customFormat="1">
      <c r="A36" s="20" t="s">
        <v>68</v>
      </c>
      <c r="B36" s="29">
        <f>-59.5-28.5</f>
        <v>-88</v>
      </c>
      <c r="C36" s="29">
        <f>-115.8-35.8-D36</f>
        <v>-80.099999999999994</v>
      </c>
      <c r="D36" s="29">
        <f>-49-22.5</f>
        <v>-71.5</v>
      </c>
      <c r="E36" s="29">
        <f>-118.8-25.1-F36</f>
        <v>-77.2</v>
      </c>
      <c r="F36" s="29">
        <v>-66.7</v>
      </c>
      <c r="G36" s="29"/>
      <c r="H36" s="29"/>
      <c r="I36" s="29"/>
      <c r="J36" s="29"/>
    </row>
    <row r="37" spans="1:12" s="27" customFormat="1">
      <c r="A37" s="27" t="s">
        <v>69</v>
      </c>
      <c r="B37" s="27">
        <f>B35+B36</f>
        <v>18.200000000000003</v>
      </c>
      <c r="C37" s="27">
        <f>C35+C36</f>
        <v>128.1</v>
      </c>
      <c r="D37" s="27">
        <f>D35+D36</f>
        <v>17.299999999999997</v>
      </c>
      <c r="E37" s="27">
        <f>E35+E36</f>
        <v>77.8</v>
      </c>
      <c r="F37" s="27">
        <f>F35+F36</f>
        <v>15.700000000000003</v>
      </c>
    </row>
    <row r="39" spans="1:12" s="35" customFormat="1">
      <c r="A39" s="34" t="s">
        <v>70</v>
      </c>
      <c r="B39" s="20">
        <v>0</v>
      </c>
      <c r="C39" s="20">
        <v>0</v>
      </c>
      <c r="D39" s="20">
        <v>0</v>
      </c>
      <c r="E39" s="20">
        <v>0</v>
      </c>
      <c r="F39" s="20">
        <v>0</v>
      </c>
      <c r="G39" s="20"/>
      <c r="H39" s="20"/>
      <c r="I39" s="20"/>
      <c r="J39" s="20"/>
      <c r="L39" s="33"/>
    </row>
    <row r="40" spans="1:12" s="35" customFormat="1">
      <c r="A40" s="34" t="s">
        <v>71</v>
      </c>
      <c r="B40" s="20">
        <f>733.4+426.6+0.2</f>
        <v>1160.2</v>
      </c>
      <c r="C40" s="20">
        <f>1205.2+2.3</f>
        <v>1207.5</v>
      </c>
      <c r="D40" s="20">
        <f>D41-188.7</f>
        <v>1045.5</v>
      </c>
      <c r="E40" s="20">
        <f>E41-183.6</f>
        <v>1028.4000000000001</v>
      </c>
      <c r="F40" s="20">
        <f>F41-199.5</f>
        <v>1072.5</v>
      </c>
      <c r="G40" s="20"/>
      <c r="H40" s="20"/>
      <c r="I40" s="20"/>
      <c r="J40" s="20"/>
      <c r="L40" s="33"/>
    </row>
    <row r="41" spans="1:12" s="35" customFormat="1">
      <c r="A41" s="34" t="s">
        <v>72</v>
      </c>
      <c r="B41" s="20">
        <f>B39+B40</f>
        <v>1160.2</v>
      </c>
      <c r="C41" s="20">
        <f>C39+C40</f>
        <v>1207.5</v>
      </c>
      <c r="D41" s="20">
        <f>1231.8+2.4</f>
        <v>1234.2</v>
      </c>
      <c r="E41" s="20">
        <f>1208.3+3.7</f>
        <v>1212</v>
      </c>
      <c r="F41" s="20">
        <v>1272</v>
      </c>
      <c r="G41" s="20"/>
      <c r="H41" s="20"/>
      <c r="I41" s="20"/>
      <c r="J41" s="20"/>
      <c r="L41" s="33"/>
    </row>
    <row r="42" spans="1:12" s="35" customFormat="1">
      <c r="A42" s="34" t="s">
        <v>73</v>
      </c>
      <c r="B42" s="36">
        <v>1459</v>
      </c>
      <c r="C42" s="36">
        <v>1459</v>
      </c>
      <c r="D42" s="36">
        <v>1459</v>
      </c>
      <c r="E42" s="36">
        <v>1459</v>
      </c>
      <c r="F42" s="36">
        <v>1459</v>
      </c>
      <c r="G42" s="36"/>
      <c r="H42" s="36"/>
      <c r="I42" s="36"/>
      <c r="J42" s="36"/>
      <c r="L42" s="33"/>
    </row>
    <row r="43" spans="1:12">
      <c r="B43" s="35"/>
      <c r="C43" s="35"/>
      <c r="D43" s="35"/>
      <c r="E43" s="35"/>
      <c r="F43" s="35"/>
      <c r="G43" s="35"/>
      <c r="H43" s="35"/>
    </row>
    <row r="44" spans="1:12">
      <c r="A44" s="19" t="s">
        <v>74</v>
      </c>
      <c r="B44" s="20">
        <v>285.3</v>
      </c>
      <c r="C44" s="20">
        <v>360.1</v>
      </c>
      <c r="D44" s="20">
        <v>299.2</v>
      </c>
      <c r="E44" s="20">
        <v>287.2</v>
      </c>
      <c r="F44" s="20">
        <v>184.9</v>
      </c>
      <c r="G44" s="28"/>
      <c r="H44" s="28"/>
      <c r="I44" s="28"/>
      <c r="J44" s="28"/>
    </row>
    <row r="46" spans="1:12">
      <c r="A46" s="14" t="s">
        <v>75</v>
      </c>
      <c r="B46" s="33">
        <f>B12+C12</f>
        <v>3413.6000000000004</v>
      </c>
      <c r="C46" s="33">
        <f>C12+D12</f>
        <v>3472.8</v>
      </c>
      <c r="D46" s="33">
        <f>D12+E12</f>
        <v>3481.2</v>
      </c>
      <c r="E46" s="33">
        <f>E12+F12</f>
        <v>3490.9</v>
      </c>
      <c r="F46" s="51">
        <v>3492.8</v>
      </c>
      <c r="G46" s="51">
        <v>3348.6</v>
      </c>
      <c r="H46" s="33"/>
      <c r="I46" s="33"/>
      <c r="J46" s="33"/>
    </row>
    <row r="47" spans="1:12">
      <c r="A47" s="14" t="s">
        <v>76</v>
      </c>
      <c r="B47" s="33">
        <f>B27</f>
        <v>473.9</v>
      </c>
      <c r="C47" s="33">
        <f>C27</f>
        <v>484.3</v>
      </c>
      <c r="D47" s="33">
        <f>D27</f>
        <v>491.2</v>
      </c>
      <c r="E47" s="33">
        <f>E27</f>
        <v>490.7</v>
      </c>
      <c r="F47" s="51">
        <v>485.4</v>
      </c>
      <c r="G47" s="51">
        <v>464.7</v>
      </c>
      <c r="H47" s="33"/>
      <c r="I47" s="33"/>
      <c r="J47" s="33"/>
    </row>
    <row r="48" spans="1:12">
      <c r="A48" s="14" t="s">
        <v>77</v>
      </c>
      <c r="B48" s="33">
        <f>B37+C37</f>
        <v>146.30000000000001</v>
      </c>
      <c r="C48" s="33">
        <f>C37+D37</f>
        <v>145.39999999999998</v>
      </c>
      <c r="D48" s="33">
        <f>D37+E37</f>
        <v>95.1</v>
      </c>
      <c r="E48" s="33">
        <f>E37+F37</f>
        <v>93.5</v>
      </c>
      <c r="F48" s="51">
        <v>169.68675000000002</v>
      </c>
      <c r="G48" s="51">
        <f>204-109.5-26.5</f>
        <v>68</v>
      </c>
      <c r="H48" s="33"/>
      <c r="I48" s="33"/>
      <c r="J48" s="33"/>
    </row>
    <row r="50" spans="1:10" s="37" customFormat="1">
      <c r="A50" s="37" t="s">
        <v>78</v>
      </c>
      <c r="B50" s="37">
        <f>+SUM(B39:B40)/B47</f>
        <v>2.4481958219033553</v>
      </c>
      <c r="C50" s="37">
        <f>+SUM(C39:C40)/C47</f>
        <v>2.4932892835019613</v>
      </c>
      <c r="D50" s="37">
        <f>+SUM(D39:D40)/D47</f>
        <v>2.1284609120521174</v>
      </c>
      <c r="E50" s="37">
        <f>+SUM(E39:E40)/E47</f>
        <v>2.0957815365803958</v>
      </c>
      <c r="F50" s="37">
        <f>+SUM(F39:F40)/F47</f>
        <v>2.2095179233621756</v>
      </c>
    </row>
    <row r="51" spans="1:10" s="37" customFormat="1">
      <c r="A51" s="37" t="s">
        <v>79</v>
      </c>
      <c r="B51" s="37">
        <f>+B41/B47</f>
        <v>2.4481958219033553</v>
      </c>
      <c r="C51" s="37">
        <f>+C41/C47</f>
        <v>2.4932892835019613</v>
      </c>
      <c r="D51" s="37">
        <f>+D41/D47</f>
        <v>2.5126221498371337</v>
      </c>
      <c r="E51" s="37">
        <f>+E41/E47</f>
        <v>2.4699409007540249</v>
      </c>
      <c r="F51" s="37">
        <f>+F41/F47</f>
        <v>2.6205191594561188</v>
      </c>
    </row>
    <row r="52" spans="1:10" s="37" customFormat="1">
      <c r="A52" s="37" t="s">
        <v>80</v>
      </c>
      <c r="B52" s="37">
        <f>+(B41-B44)/B47</f>
        <v>1.8461700780755437</v>
      </c>
      <c r="C52" s="37">
        <f>+(C41-C44)/C47</f>
        <v>1.749741895519306</v>
      </c>
      <c r="D52" s="37">
        <f>+(D41-D44)/D47</f>
        <v>1.9035016286644952</v>
      </c>
      <c r="E52" s="37">
        <f>+(E41-E44)/E47</f>
        <v>1.8846545750968005</v>
      </c>
      <c r="F52" s="37">
        <f>+(F41-F44)/F47</f>
        <v>2.2395962093119075</v>
      </c>
    </row>
    <row r="53" spans="1:10" s="38" customFormat="1">
      <c r="A53" s="38" t="s">
        <v>81</v>
      </c>
      <c r="B53" s="38">
        <f>+B48/B41</f>
        <v>0.12609894845716257</v>
      </c>
      <c r="C53" s="38">
        <f>+C48/C41</f>
        <v>0.12041407867494822</v>
      </c>
      <c r="D53" s="38">
        <f>+D48/D41</f>
        <v>7.7053962080700047E-2</v>
      </c>
      <c r="E53" s="38">
        <f>+E48/E41</f>
        <v>7.7145214521452149E-2</v>
      </c>
      <c r="F53" s="38">
        <f>+F48/F41</f>
        <v>0.13340153301886795</v>
      </c>
    </row>
    <row r="54" spans="1:10" s="38" customFormat="1">
      <c r="A54" s="39" t="s">
        <v>82</v>
      </c>
      <c r="B54" s="40"/>
      <c r="C54" s="40"/>
      <c r="D54" s="40"/>
      <c r="E54" s="40"/>
      <c r="F54" s="40"/>
      <c r="G54" s="40"/>
      <c r="H54" s="40"/>
      <c r="I54" s="40"/>
      <c r="J54" s="40"/>
    </row>
    <row r="55" spans="1:10" s="38" customFormat="1">
      <c r="A55" s="38" t="s">
        <v>83</v>
      </c>
      <c r="B55" s="41">
        <f t="shared" ref="B55:C55" si="4">IF(B42=0,IF(B54="","","*"&amp;TEXT(B54,"0.0x")),(B41+B42-B44)/B47)</f>
        <v>4.9248786663853128</v>
      </c>
      <c r="C55" s="41">
        <f t="shared" si="4"/>
        <v>4.7623373941771634</v>
      </c>
      <c r="D55" s="41">
        <f t="shared" ref="D55:J55" si="5">IF(D42=0,IF(D54="","","*"&amp;TEXT(D54,"0.0x")),(D41+D42-D44)/D47)</f>
        <v>4.8737785016286646</v>
      </c>
      <c r="E55" s="41">
        <f t="shared" si="5"/>
        <v>4.8579580191563076</v>
      </c>
      <c r="F55" s="41">
        <f t="shared" si="5"/>
        <v>5.2453646477132265</v>
      </c>
      <c r="G55" s="41" t="str">
        <f t="shared" si="5"/>
        <v/>
      </c>
      <c r="H55" s="41" t="str">
        <f t="shared" si="5"/>
        <v/>
      </c>
      <c r="I55" s="41" t="str">
        <f t="shared" si="5"/>
        <v/>
      </c>
      <c r="J55" s="41" t="str">
        <f t="shared" si="5"/>
        <v/>
      </c>
    </row>
    <row r="56" spans="1:10">
      <c r="J56" s="42"/>
    </row>
    <row r="57" spans="1:10" ht="80.25" customHeight="1">
      <c r="A57" s="43" t="s">
        <v>84</v>
      </c>
      <c r="B57" s="44" t="s">
        <v>289</v>
      </c>
      <c r="C57" s="44" t="s">
        <v>289</v>
      </c>
      <c r="D57" s="44"/>
      <c r="E57" s="44"/>
      <c r="F57" s="44" t="s">
        <v>90</v>
      </c>
      <c r="G57" s="44" t="s">
        <v>271</v>
      </c>
      <c r="H57" s="44"/>
      <c r="I57" s="44"/>
      <c r="J57" s="44"/>
    </row>
    <row r="58" spans="1:10">
      <c r="A58" s="45"/>
      <c r="B58" s="42"/>
      <c r="C58" s="42"/>
      <c r="D58" s="42"/>
      <c r="E58" s="42"/>
      <c r="F58" s="42"/>
    </row>
    <row r="59" spans="1:10">
      <c r="A59" s="45"/>
    </row>
  </sheetData>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2:AA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1" width="10.6640625" style="14" customWidth="1"/>
    <col min="12" max="23" width="10.6640625" style="14" hidden="1" customWidth="1"/>
    <col min="24" max="24" width="9.109375" style="14"/>
    <col min="25" max="25" width="12.44140625" style="14" bestFit="1" customWidth="1"/>
    <col min="26" max="26" width="10" style="14" bestFit="1" customWidth="1"/>
    <col min="27" max="16384" width="9.109375" style="14"/>
  </cols>
  <sheetData>
    <row r="2" spans="1:25">
      <c r="A2" s="13" t="s">
        <v>44</v>
      </c>
      <c r="B2" s="14" t="s">
        <v>248</v>
      </c>
    </row>
    <row r="3" spans="1:25" s="16" customFormat="1">
      <c r="A3" s="15" t="s">
        <v>45</v>
      </c>
      <c r="B3" s="16" t="s">
        <v>250</v>
      </c>
    </row>
    <row r="4" spans="1:25">
      <c r="A4" s="13" t="s">
        <v>2</v>
      </c>
      <c r="B4" s="14" t="s">
        <v>4</v>
      </c>
    </row>
    <row r="5" spans="1:25">
      <c r="A5" s="13" t="s">
        <v>46</v>
      </c>
    </row>
    <row r="6" spans="1:25">
      <c r="A6" s="13" t="s">
        <v>47</v>
      </c>
      <c r="B6" s="14">
        <v>3</v>
      </c>
    </row>
    <row r="7" spans="1:25">
      <c r="A7" s="13" t="s">
        <v>48</v>
      </c>
      <c r="B7" s="14" t="s">
        <v>455</v>
      </c>
    </row>
    <row r="8" spans="1:25">
      <c r="A8" s="13" t="s">
        <v>347</v>
      </c>
      <c r="B8" s="14" t="s">
        <v>352</v>
      </c>
    </row>
    <row r="9" spans="1:25">
      <c r="A9" s="17"/>
    </row>
    <row r="10" spans="1:25">
      <c r="A10" s="17" t="s">
        <v>49</v>
      </c>
      <c r="B10" s="18">
        <v>44377</v>
      </c>
      <c r="C10" s="18">
        <v>44286</v>
      </c>
      <c r="D10" s="18">
        <v>44196</v>
      </c>
      <c r="E10" s="18">
        <v>44104</v>
      </c>
      <c r="F10" s="18">
        <v>44012</v>
      </c>
      <c r="G10" s="18">
        <v>43921</v>
      </c>
      <c r="H10" s="18">
        <v>43830</v>
      </c>
      <c r="I10" s="18">
        <v>43738</v>
      </c>
      <c r="J10" s="18">
        <v>43646</v>
      </c>
      <c r="K10" s="18">
        <v>43555</v>
      </c>
      <c r="L10" s="18">
        <v>43465</v>
      </c>
      <c r="M10" s="18">
        <v>43373</v>
      </c>
      <c r="N10" s="18">
        <v>43281</v>
      </c>
      <c r="O10" s="18">
        <v>43190</v>
      </c>
      <c r="P10" s="18">
        <v>43100</v>
      </c>
      <c r="Q10" s="18">
        <f>EOMONTH(P10,-3)</f>
        <v>43008</v>
      </c>
      <c r="R10" s="18">
        <f t="shared" ref="R10:W10" si="0">EOMONTH(Q10,-3)</f>
        <v>42916</v>
      </c>
      <c r="S10" s="18">
        <f t="shared" si="0"/>
        <v>42825</v>
      </c>
      <c r="T10" s="18">
        <f t="shared" si="0"/>
        <v>42735</v>
      </c>
      <c r="U10" s="18">
        <f t="shared" si="0"/>
        <v>42643</v>
      </c>
      <c r="V10" s="18">
        <f t="shared" si="0"/>
        <v>42551</v>
      </c>
      <c r="W10" s="18">
        <f t="shared" si="0"/>
        <v>42460</v>
      </c>
    </row>
    <row r="11" spans="1:25">
      <c r="B11" s="33"/>
      <c r="C11" s="33"/>
    </row>
    <row r="12" spans="1:25">
      <c r="A12" s="19" t="s">
        <v>50</v>
      </c>
      <c r="B12" s="20">
        <v>187.73121900000001</v>
      </c>
      <c r="C12" s="20">
        <v>145.85636299999999</v>
      </c>
      <c r="D12" s="20">
        <f>559.017029-E12-F12-G12</f>
        <v>145.29814099999993</v>
      </c>
      <c r="E12" s="20">
        <v>136.59238999999999</v>
      </c>
      <c r="F12" s="20">
        <v>137.92227299999999</v>
      </c>
      <c r="G12" s="20">
        <v>139.20422500000001</v>
      </c>
      <c r="H12" s="20">
        <f>610.228405-I12-J12-K12</f>
        <v>141.07494499999999</v>
      </c>
      <c r="I12" s="20">
        <v>164.05972199999999</v>
      </c>
      <c r="J12" s="20">
        <v>174.79183</v>
      </c>
      <c r="K12" s="20">
        <f>130.301908</f>
        <v>130.301908</v>
      </c>
      <c r="L12" s="20">
        <f>436.487259+95.913623-M12-N12-O12</f>
        <v>124.87839</v>
      </c>
      <c r="M12" s="20">
        <v>142.05852400000001</v>
      </c>
      <c r="N12" s="20">
        <v>147.98670899999999</v>
      </c>
      <c r="O12" s="20">
        <v>117.477259</v>
      </c>
      <c r="P12" s="20">
        <f>491.573575-S12-R12-Q12</f>
        <v>122.87357499999999</v>
      </c>
      <c r="Q12" s="20">
        <v>126.9</v>
      </c>
      <c r="R12" s="20">
        <v>130</v>
      </c>
      <c r="S12" s="20">
        <v>111.8</v>
      </c>
      <c r="T12" s="20">
        <f>444.052231-W12-V12-U12</f>
        <v>107.35223099999999</v>
      </c>
      <c r="U12" s="20">
        <v>116.9</v>
      </c>
      <c r="V12" s="20">
        <v>119</v>
      </c>
      <c r="W12" s="20">
        <v>100.8</v>
      </c>
    </row>
    <row r="13" spans="1:25" s="21" customFormat="1">
      <c r="A13" s="21" t="s">
        <v>51</v>
      </c>
      <c r="B13" s="21">
        <f t="shared" ref="B13:S13" si="1">+B12/F12-1</f>
        <v>0.36113779824379799</v>
      </c>
      <c r="C13" s="21">
        <f t="shared" si="1"/>
        <v>4.7786897272694029E-2</v>
      </c>
      <c r="D13" s="21">
        <f t="shared" si="1"/>
        <v>2.9935833042500581E-2</v>
      </c>
      <c r="E13" s="21">
        <f t="shared" si="1"/>
        <v>-0.16742276327885042</v>
      </c>
      <c r="F13" s="21">
        <f t="shared" si="1"/>
        <v>-0.21093409800675478</v>
      </c>
      <c r="G13" s="21">
        <f t="shared" si="1"/>
        <v>6.8320695657043018E-2</v>
      </c>
      <c r="H13" s="21">
        <f t="shared" si="1"/>
        <v>0.12969862119458764</v>
      </c>
      <c r="I13" s="21">
        <f t="shared" si="1"/>
        <v>0.15487418410738929</v>
      </c>
      <c r="J13" s="21">
        <f t="shared" si="1"/>
        <v>0.18113194881575501</v>
      </c>
      <c r="K13" s="21">
        <f t="shared" si="1"/>
        <v>0.10916707717874141</v>
      </c>
      <c r="L13" s="21">
        <f t="shared" si="1"/>
        <v>1.6316079352293622E-2</v>
      </c>
      <c r="M13" s="21">
        <f t="shared" si="1"/>
        <v>0.11945251379038613</v>
      </c>
      <c r="N13" s="21">
        <f t="shared" si="1"/>
        <v>0.13835929999999985</v>
      </c>
      <c r="O13" s="21">
        <f t="shared" si="1"/>
        <v>5.0780491949910633E-2</v>
      </c>
      <c r="P13" s="21">
        <f t="shared" si="1"/>
        <v>0.14458333893405539</v>
      </c>
      <c r="Q13" s="21">
        <f t="shared" si="1"/>
        <v>8.554319931565435E-2</v>
      </c>
      <c r="R13" s="21">
        <f t="shared" si="1"/>
        <v>9.243697478991586E-2</v>
      </c>
      <c r="S13" s="21">
        <f t="shared" si="1"/>
        <v>0.10912698412698418</v>
      </c>
    </row>
    <row r="14" spans="1:25" s="24" customFormat="1">
      <c r="A14" s="22" t="s">
        <v>52</v>
      </c>
      <c r="B14" s="129">
        <f>((B12-F12)-8.4)/F12</f>
        <v>0.30023392958438283</v>
      </c>
      <c r="C14" s="129">
        <f>((C12-G12)-4.9)/G12</f>
        <v>1.2586816240670705E-2</v>
      </c>
      <c r="D14" s="23" t="s">
        <v>3</v>
      </c>
      <c r="E14" s="23" t="s">
        <v>3</v>
      </c>
      <c r="F14" s="23" t="s">
        <v>3</v>
      </c>
      <c r="G14" s="129">
        <f>(G12-K12-7.9)/K12</f>
        <v>7.692266486228355E-3</v>
      </c>
      <c r="H14" s="129">
        <v>-1.2E-2</v>
      </c>
      <c r="I14" s="23" t="s">
        <v>3</v>
      </c>
      <c r="J14" s="23" t="s">
        <v>3</v>
      </c>
      <c r="K14" s="23" t="s">
        <v>3</v>
      </c>
      <c r="L14" s="23" t="s">
        <v>3</v>
      </c>
      <c r="M14" s="23" t="s">
        <v>3</v>
      </c>
      <c r="N14" s="23" t="s">
        <v>3</v>
      </c>
      <c r="O14" s="23" t="s">
        <v>3</v>
      </c>
      <c r="P14" s="23" t="s">
        <v>3</v>
      </c>
      <c r="Q14" s="23" t="s">
        <v>3</v>
      </c>
      <c r="R14" s="23" t="s">
        <v>3</v>
      </c>
      <c r="S14" s="23" t="s">
        <v>3</v>
      </c>
      <c r="T14" s="22"/>
      <c r="U14" s="22"/>
      <c r="V14" s="22"/>
      <c r="W14" s="22"/>
    </row>
    <row r="15" spans="1:25">
      <c r="B15" s="33"/>
      <c r="C15" s="33"/>
      <c r="D15" s="33"/>
      <c r="E15" s="33"/>
      <c r="F15" s="33"/>
      <c r="G15" s="33"/>
      <c r="H15" s="33"/>
      <c r="I15" s="33"/>
    </row>
    <row r="16" spans="1:25" s="17" customFormat="1">
      <c r="A16" s="25" t="s">
        <v>53</v>
      </c>
      <c r="B16" s="26">
        <v>23.660261999999999</v>
      </c>
      <c r="C16" s="26">
        <v>15.701366</v>
      </c>
      <c r="D16" s="26">
        <v>25.093049000000001</v>
      </c>
      <c r="E16" s="26">
        <v>22.312480999999998</v>
      </c>
      <c r="F16" s="26">
        <v>19.568936999999998</v>
      </c>
      <c r="G16" s="26">
        <v>16.743428999999999</v>
      </c>
      <c r="H16" s="26">
        <v>21.244108000000001</v>
      </c>
      <c r="I16" s="26">
        <v>22.206004</v>
      </c>
      <c r="J16" s="26">
        <v>26.140851000000001</v>
      </c>
      <c r="K16" s="26">
        <v>15.583646999999999</v>
      </c>
      <c r="L16" s="26">
        <v>14.959849</v>
      </c>
      <c r="M16" s="26">
        <v>16.580251000000001</v>
      </c>
      <c r="N16" s="26">
        <v>19.078757</v>
      </c>
      <c r="O16" s="26">
        <v>11.970503000000001</v>
      </c>
      <c r="P16" s="26">
        <v>12.189299999999999</v>
      </c>
      <c r="Q16" s="26">
        <v>14.981055</v>
      </c>
      <c r="R16" s="26">
        <v>16.3</v>
      </c>
      <c r="S16" s="26">
        <v>12.5</v>
      </c>
      <c r="T16" s="26">
        <v>0</v>
      </c>
      <c r="U16" s="26">
        <v>12</v>
      </c>
      <c r="V16" s="26">
        <v>15.2</v>
      </c>
      <c r="W16" s="26">
        <v>9.3000000000000007</v>
      </c>
      <c r="Y16" s="14"/>
    </row>
    <row r="17" spans="1:25" s="21" customFormat="1">
      <c r="A17" s="21" t="s">
        <v>54</v>
      </c>
      <c r="B17" s="21">
        <f t="shared" ref="B17" si="2">+B16/B12</f>
        <v>0.1260326445757538</v>
      </c>
      <c r="C17" s="21">
        <f t="shared" ref="C17:D17" si="3">+C16/C12</f>
        <v>0.10764950994973048</v>
      </c>
      <c r="D17" s="21">
        <f t="shared" si="3"/>
        <v>0.17270041328333316</v>
      </c>
      <c r="E17" s="21">
        <f t="shared" ref="E17:F17" si="4">+E16/E12</f>
        <v>0.16335083528445471</v>
      </c>
      <c r="F17" s="21">
        <f t="shared" si="4"/>
        <v>0.14188380581575827</v>
      </c>
      <c r="G17" s="21">
        <f t="shared" ref="G17:H17" si="5">+G16/G12</f>
        <v>0.12027960358243435</v>
      </c>
      <c r="H17" s="21">
        <f t="shared" si="5"/>
        <v>0.15058739168744673</v>
      </c>
      <c r="I17" s="21">
        <f t="shared" ref="I17:J17" si="6">+I16/I12</f>
        <v>0.13535317340108624</v>
      </c>
      <c r="J17" s="21">
        <f t="shared" si="6"/>
        <v>0.14955419255007515</v>
      </c>
      <c r="K17" s="21">
        <f t="shared" ref="K17:P17" si="7">+K16/K12</f>
        <v>0.11959646055221232</v>
      </c>
      <c r="L17" s="21">
        <f t="shared" si="7"/>
        <v>0.11979533848890909</v>
      </c>
      <c r="M17" s="21">
        <f t="shared" si="7"/>
        <v>0.11671422828523827</v>
      </c>
      <c r="N17" s="21">
        <f t="shared" si="7"/>
        <v>0.12892209799732759</v>
      </c>
      <c r="O17" s="21">
        <f t="shared" si="7"/>
        <v>0.101896342338052</v>
      </c>
      <c r="P17" s="21">
        <f t="shared" si="7"/>
        <v>9.9201964295415029E-2</v>
      </c>
      <c r="Q17" s="21">
        <f t="shared" ref="Q17:W17" si="8">+Q16/Q12</f>
        <v>0.11805401891252955</v>
      </c>
      <c r="R17" s="21">
        <f t="shared" si="8"/>
        <v>0.1253846153846154</v>
      </c>
      <c r="S17" s="21">
        <f t="shared" si="8"/>
        <v>0.11180679785330948</v>
      </c>
      <c r="T17" s="21">
        <f t="shared" si="8"/>
        <v>0</v>
      </c>
      <c r="U17" s="21">
        <f t="shared" si="8"/>
        <v>0.10265183917878529</v>
      </c>
      <c r="V17" s="21">
        <f t="shared" si="8"/>
        <v>0.12773109243697478</v>
      </c>
      <c r="W17" s="21">
        <f t="shared" si="8"/>
        <v>9.2261904761904767E-2</v>
      </c>
      <c r="Y17" s="87"/>
    </row>
    <row r="18" spans="1:25" s="24" customFormat="1"/>
    <row r="19" spans="1:25"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row>
    <row r="20" spans="1:25"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row>
    <row r="21" spans="1:25"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row>
    <row r="22" spans="1:25" s="17" customFormat="1">
      <c r="A22" s="17" t="s">
        <v>58</v>
      </c>
      <c r="B22" s="27">
        <f t="shared" ref="B22" si="9">SUM(B16,B19:B21)</f>
        <v>23.660261999999999</v>
      </c>
      <c r="C22" s="27">
        <f t="shared" ref="C22:D22" si="10">SUM(C16,C19:C21)</f>
        <v>15.701366</v>
      </c>
      <c r="D22" s="27">
        <f t="shared" si="10"/>
        <v>25.093049000000001</v>
      </c>
      <c r="E22" s="27">
        <f t="shared" ref="E22:F22" si="11">SUM(E16,E19:E21)</f>
        <v>22.312480999999998</v>
      </c>
      <c r="F22" s="27">
        <f t="shared" si="11"/>
        <v>19.568936999999998</v>
      </c>
      <c r="G22" s="27">
        <f t="shared" ref="G22:H22" si="12">SUM(G16,G19:G21)</f>
        <v>16.743428999999999</v>
      </c>
      <c r="H22" s="27">
        <f t="shared" si="12"/>
        <v>21.244108000000001</v>
      </c>
      <c r="I22" s="27">
        <f t="shared" ref="I22:J22" si="13">SUM(I16,I19:I21)</f>
        <v>22.206004</v>
      </c>
      <c r="J22" s="27">
        <f t="shared" si="13"/>
        <v>26.140851000000001</v>
      </c>
      <c r="K22" s="27">
        <f t="shared" ref="K22:P22" si="14">SUM(K16,K19:K21)</f>
        <v>15.583646999999999</v>
      </c>
      <c r="L22" s="27">
        <f t="shared" si="14"/>
        <v>14.959849</v>
      </c>
      <c r="M22" s="27">
        <f t="shared" si="14"/>
        <v>16.580251000000001</v>
      </c>
      <c r="N22" s="27">
        <f t="shared" si="14"/>
        <v>19.078757</v>
      </c>
      <c r="O22" s="27">
        <f t="shared" si="14"/>
        <v>11.970503000000001</v>
      </c>
      <c r="P22" s="27">
        <f t="shared" si="14"/>
        <v>12.189299999999999</v>
      </c>
      <c r="Q22" s="27">
        <f t="shared" ref="Q22:W22" si="15">SUM(Q16,Q19:Q21)</f>
        <v>14.981055</v>
      </c>
      <c r="R22" s="27">
        <f t="shared" si="15"/>
        <v>16.3</v>
      </c>
      <c r="S22" s="27">
        <f t="shared" si="15"/>
        <v>12.5</v>
      </c>
      <c r="T22" s="27">
        <f t="shared" si="15"/>
        <v>0</v>
      </c>
      <c r="U22" s="27">
        <f t="shared" si="15"/>
        <v>12</v>
      </c>
      <c r="V22" s="27">
        <f t="shared" si="15"/>
        <v>15.2</v>
      </c>
      <c r="W22" s="27">
        <f t="shared" si="15"/>
        <v>9.3000000000000007</v>
      </c>
    </row>
    <row r="23" spans="1:25" s="17" customFormat="1">
      <c r="B23" s="21"/>
      <c r="C23" s="21"/>
      <c r="D23" s="21"/>
      <c r="E23" s="21"/>
      <c r="F23" s="21"/>
      <c r="G23" s="21"/>
      <c r="H23" s="21"/>
      <c r="I23" s="21"/>
      <c r="J23" s="21"/>
      <c r="K23" s="21"/>
      <c r="L23" s="21"/>
      <c r="M23" s="21"/>
      <c r="N23" s="27"/>
      <c r="O23" s="27"/>
      <c r="P23" s="27"/>
      <c r="Q23" s="27"/>
      <c r="R23" s="27"/>
      <c r="S23" s="27"/>
      <c r="T23" s="27"/>
      <c r="U23" s="27"/>
      <c r="V23" s="27"/>
      <c r="W23" s="27"/>
    </row>
    <row r="24" spans="1:25" s="17" customFormat="1">
      <c r="A24" s="17" t="s">
        <v>59</v>
      </c>
      <c r="B24" s="27">
        <f t="shared" ref="B24:T24" si="16">SUM(B22:E22)</f>
        <v>86.767157999999995</v>
      </c>
      <c r="C24" s="27">
        <f t="shared" si="16"/>
        <v>82.675832999999997</v>
      </c>
      <c r="D24" s="27">
        <f t="shared" si="16"/>
        <v>83.717895999999996</v>
      </c>
      <c r="E24" s="27">
        <f t="shared" si="16"/>
        <v>79.868955</v>
      </c>
      <c r="F24" s="27">
        <f t="shared" si="16"/>
        <v>79.762477999999987</v>
      </c>
      <c r="G24" s="27">
        <f t="shared" si="16"/>
        <v>86.334392000000008</v>
      </c>
      <c r="H24" s="27">
        <f t="shared" si="16"/>
        <v>85.174610000000001</v>
      </c>
      <c r="I24" s="27">
        <f t="shared" si="16"/>
        <v>78.89035100000001</v>
      </c>
      <c r="J24" s="27">
        <f t="shared" si="16"/>
        <v>73.264597999999992</v>
      </c>
      <c r="K24" s="27">
        <f t="shared" si="16"/>
        <v>66.20250399999999</v>
      </c>
      <c r="L24" s="27">
        <f t="shared" si="16"/>
        <v>62.589360000000006</v>
      </c>
      <c r="M24" s="27">
        <f t="shared" si="16"/>
        <v>59.818810999999997</v>
      </c>
      <c r="N24" s="27">
        <f t="shared" si="16"/>
        <v>58.219614999999997</v>
      </c>
      <c r="O24" s="27">
        <f t="shared" si="16"/>
        <v>55.440858000000006</v>
      </c>
      <c r="P24" s="27">
        <f t="shared" si="16"/>
        <v>55.970354999999998</v>
      </c>
      <c r="Q24" s="27">
        <f t="shared" si="16"/>
        <v>43.781055000000002</v>
      </c>
      <c r="R24" s="27">
        <f t="shared" si="16"/>
        <v>40.799999999999997</v>
      </c>
      <c r="S24" s="27">
        <f t="shared" si="16"/>
        <v>39.700000000000003</v>
      </c>
      <c r="T24" s="27">
        <f t="shared" si="16"/>
        <v>36.5</v>
      </c>
      <c r="U24" s="27"/>
      <c r="V24" s="27"/>
      <c r="W24" s="27"/>
    </row>
    <row r="25" spans="1:25" s="24" customFormat="1">
      <c r="A25" s="19" t="s">
        <v>60</v>
      </c>
      <c r="B25" s="28">
        <v>0</v>
      </c>
      <c r="C25" s="28">
        <v>0</v>
      </c>
      <c r="D25" s="28">
        <v>0</v>
      </c>
      <c r="E25" s="28">
        <v>0</v>
      </c>
      <c r="F25" s="28">
        <v>0</v>
      </c>
      <c r="G25" s="28">
        <v>0</v>
      </c>
      <c r="H25" s="28">
        <v>0</v>
      </c>
      <c r="I25" s="28">
        <v>0</v>
      </c>
      <c r="J25" s="28">
        <v>0</v>
      </c>
      <c r="K25" s="28">
        <v>0</v>
      </c>
      <c r="L25" s="28">
        <v>0</v>
      </c>
      <c r="M25" s="28">
        <v>0</v>
      </c>
      <c r="N25" s="28">
        <v>0</v>
      </c>
      <c r="O25" s="28">
        <v>0</v>
      </c>
      <c r="P25" s="28">
        <v>0</v>
      </c>
      <c r="Q25" s="28">
        <v>0</v>
      </c>
      <c r="R25" s="28">
        <v>0</v>
      </c>
      <c r="S25" s="28">
        <v>0</v>
      </c>
      <c r="T25" s="28">
        <v>0</v>
      </c>
      <c r="U25" s="28"/>
      <c r="V25" s="28"/>
      <c r="W25" s="28"/>
    </row>
    <row r="26" spans="1:25" s="24" customFormat="1">
      <c r="A26" s="19" t="s">
        <v>61</v>
      </c>
      <c r="B26" s="29">
        <f>90.356948-B25-B24</f>
        <v>3.5897900000000078</v>
      </c>
      <c r="C26" s="29">
        <f>82.676857-C25-C24</f>
        <v>1.0240000000010241E-3</v>
      </c>
      <c r="D26" s="29">
        <f>77.415976-D25-D24</f>
        <v>-6.3019199999999955</v>
      </c>
      <c r="E26" s="29">
        <f>75.489061-E25-E24</f>
        <v>-4.3798939999999931</v>
      </c>
      <c r="F26" s="29">
        <f>79.747756-F25-F24</f>
        <v>-1.4721999999991908E-2</v>
      </c>
      <c r="G26" s="29">
        <f>90.626145-G25-G24</f>
        <v>4.2917529999999857</v>
      </c>
      <c r="H26" s="29">
        <f>84.381612-H25-H24</f>
        <v>-0.79299799999999721</v>
      </c>
      <c r="I26" s="29">
        <f>77.936688-I25-I24</f>
        <v>-0.95366300000000592</v>
      </c>
      <c r="J26" s="29">
        <f>76.132806-J25-J24</f>
        <v>2.8682080000000099</v>
      </c>
      <c r="K26" s="29">
        <f>73.180405-K25-K24</f>
        <v>6.9779010000000028</v>
      </c>
      <c r="L26" s="29">
        <v>0</v>
      </c>
      <c r="M26" s="29">
        <v>0</v>
      </c>
      <c r="N26" s="29">
        <v>0</v>
      </c>
      <c r="O26" s="29">
        <v>0</v>
      </c>
      <c r="P26" s="29">
        <v>0</v>
      </c>
      <c r="Q26" s="29">
        <v>0</v>
      </c>
      <c r="R26" s="29">
        <v>0</v>
      </c>
      <c r="S26" s="29">
        <v>0</v>
      </c>
      <c r="T26" s="29">
        <v>0</v>
      </c>
      <c r="U26" s="30"/>
      <c r="V26" s="30"/>
      <c r="W26" s="30"/>
    </row>
    <row r="27" spans="1:25" s="32" customFormat="1">
      <c r="A27" s="17" t="s">
        <v>62</v>
      </c>
      <c r="B27" s="27">
        <f t="shared" ref="B27" si="17">SUM(B24:B26)</f>
        <v>90.356948000000003</v>
      </c>
      <c r="C27" s="27">
        <f t="shared" ref="C27:D27" si="18">SUM(C24:C26)</f>
        <v>82.676856999999998</v>
      </c>
      <c r="D27" s="27">
        <f t="shared" si="18"/>
        <v>77.415976000000001</v>
      </c>
      <c r="E27" s="27">
        <f t="shared" ref="E27:K27" si="19">SUM(E24:E26)</f>
        <v>75.489061000000007</v>
      </c>
      <c r="F27" s="27">
        <f t="shared" si="19"/>
        <v>79.747755999999995</v>
      </c>
      <c r="G27" s="27">
        <f t="shared" si="19"/>
        <v>90.626144999999994</v>
      </c>
      <c r="H27" s="27">
        <f t="shared" si="19"/>
        <v>84.381612000000004</v>
      </c>
      <c r="I27" s="27">
        <f t="shared" si="19"/>
        <v>77.936688000000004</v>
      </c>
      <c r="J27" s="27">
        <f t="shared" si="19"/>
        <v>76.132806000000002</v>
      </c>
      <c r="K27" s="27">
        <f t="shared" si="19"/>
        <v>73.180404999999993</v>
      </c>
      <c r="L27" s="27">
        <f t="shared" ref="L27" si="20">SUM(L24:L26)</f>
        <v>62.589360000000006</v>
      </c>
      <c r="M27" s="27">
        <f t="shared" ref="M27:T27" si="21">SUM(M24:M26)</f>
        <v>59.818810999999997</v>
      </c>
      <c r="N27" s="27">
        <f t="shared" si="21"/>
        <v>58.219614999999997</v>
      </c>
      <c r="O27" s="27">
        <f t="shared" si="21"/>
        <v>55.440858000000006</v>
      </c>
      <c r="P27" s="27">
        <f t="shared" si="21"/>
        <v>55.970354999999998</v>
      </c>
      <c r="Q27" s="27">
        <f t="shared" si="21"/>
        <v>43.781055000000002</v>
      </c>
      <c r="R27" s="27">
        <f t="shared" si="21"/>
        <v>40.799999999999997</v>
      </c>
      <c r="S27" s="27">
        <f t="shared" si="21"/>
        <v>39.700000000000003</v>
      </c>
      <c r="T27" s="27">
        <f t="shared" si="21"/>
        <v>36.5</v>
      </c>
      <c r="U27" s="31"/>
      <c r="V27" s="31"/>
      <c r="W27" s="31"/>
    </row>
    <row r="28" spans="1:25" s="24" customFormat="1">
      <c r="L28" s="133"/>
    </row>
    <row r="29" spans="1:25" s="17" customFormat="1">
      <c r="A29" s="17" t="s">
        <v>58</v>
      </c>
      <c r="B29" s="27">
        <f t="shared" ref="B29" si="22">B22</f>
        <v>23.660261999999999</v>
      </c>
      <c r="C29" s="27">
        <f t="shared" ref="C29:D29" si="23">C22</f>
        <v>15.701366</v>
      </c>
      <c r="D29" s="27">
        <f t="shared" si="23"/>
        <v>25.093049000000001</v>
      </c>
      <c r="E29" s="27">
        <f t="shared" ref="E29:O29" si="24">E22</f>
        <v>22.312480999999998</v>
      </c>
      <c r="F29" s="27">
        <f t="shared" si="24"/>
        <v>19.568936999999998</v>
      </c>
      <c r="G29" s="27">
        <f t="shared" si="24"/>
        <v>16.743428999999999</v>
      </c>
      <c r="H29" s="27">
        <f t="shared" si="24"/>
        <v>21.244108000000001</v>
      </c>
      <c r="I29" s="27">
        <f t="shared" si="24"/>
        <v>22.206004</v>
      </c>
      <c r="J29" s="27">
        <f t="shared" si="24"/>
        <v>26.140851000000001</v>
      </c>
      <c r="K29" s="27">
        <f t="shared" si="24"/>
        <v>15.583646999999999</v>
      </c>
      <c r="L29" s="27">
        <f t="shared" si="24"/>
        <v>14.959849</v>
      </c>
      <c r="M29" s="27">
        <f t="shared" si="24"/>
        <v>16.580251000000001</v>
      </c>
      <c r="N29" s="27">
        <f t="shared" si="24"/>
        <v>19.078757</v>
      </c>
      <c r="O29" s="27">
        <f t="shared" si="24"/>
        <v>11.970503000000001</v>
      </c>
      <c r="P29" s="27">
        <f t="shared" ref="P29:W29" si="25">P22</f>
        <v>12.189299999999999</v>
      </c>
      <c r="Q29" s="27">
        <f t="shared" si="25"/>
        <v>14.981055</v>
      </c>
      <c r="R29" s="27">
        <f t="shared" si="25"/>
        <v>16.3</v>
      </c>
      <c r="S29" s="27">
        <f t="shared" si="25"/>
        <v>12.5</v>
      </c>
      <c r="T29" s="27">
        <f t="shared" si="25"/>
        <v>0</v>
      </c>
      <c r="U29" s="27">
        <f t="shared" si="25"/>
        <v>12</v>
      </c>
      <c r="V29" s="27">
        <f t="shared" si="25"/>
        <v>15.2</v>
      </c>
      <c r="W29" s="27">
        <f t="shared" si="25"/>
        <v>9.3000000000000007</v>
      </c>
    </row>
    <row r="30" spans="1:25" s="33" customFormat="1">
      <c r="A30" s="20" t="s">
        <v>63</v>
      </c>
      <c r="B30" s="20">
        <f>-15.259497-C30</f>
        <v>-7.907127</v>
      </c>
      <c r="C30" s="20">
        <v>-7.3523699999999996</v>
      </c>
      <c r="D30" s="20">
        <f>-31.822886-E30-F30-G30</f>
        <v>-7.7094680000000011</v>
      </c>
      <c r="E30" s="20">
        <v>-7.2953609999999998</v>
      </c>
      <c r="F30" s="20">
        <v>-7.7401499999999999</v>
      </c>
      <c r="G30" s="20">
        <v>-9.0779069999999997</v>
      </c>
      <c r="H30" s="20">
        <f>-32.652935-I30-J30-K30</f>
        <v>-6.7078529999999983</v>
      </c>
      <c r="I30" s="20">
        <v>-7.6646390000000002</v>
      </c>
      <c r="J30" s="20">
        <v>-9.8065859999999994</v>
      </c>
      <c r="K30" s="20">
        <v>-8.4738570000000006</v>
      </c>
      <c r="L30" s="20">
        <f>-18.314567-2.62197-M30-N30-O30</f>
        <v>-4.5183280000000021</v>
      </c>
      <c r="M30" s="20">
        <v>-6.8168249999999997</v>
      </c>
      <c r="N30" s="20">
        <v>-5.9835669999999999</v>
      </c>
      <c r="O30" s="20">
        <f>-3.617817</f>
        <v>-3.6178170000000001</v>
      </c>
      <c r="P30" s="20">
        <f>-11.105719-S30-R30-Q30</f>
        <v>-1.7057190000000002</v>
      </c>
      <c r="Q30" s="20">
        <v>-3.2</v>
      </c>
      <c r="R30" s="20">
        <v>-3</v>
      </c>
      <c r="S30" s="20">
        <v>-3.2</v>
      </c>
      <c r="T30" s="20">
        <f>-11.432159-W30-V30-U30</f>
        <v>-2.5321590000000005</v>
      </c>
      <c r="U30" s="20">
        <v>-2.9</v>
      </c>
      <c r="V30" s="20">
        <v>-3</v>
      </c>
      <c r="W30" s="20">
        <v>-3</v>
      </c>
    </row>
    <row r="31" spans="1:25" s="33" customFormat="1">
      <c r="A31" s="20" t="s">
        <v>64</v>
      </c>
      <c r="B31" s="20">
        <f>2.974971-1.156014-C31</f>
        <v>1.1249229999999999</v>
      </c>
      <c r="C31" s="20">
        <f>1.791838-1.097804</f>
        <v>0.69403400000000004</v>
      </c>
      <c r="D31" s="20">
        <f>6.837488-7.838351-E31-F31-G31</f>
        <v>1.6306079999999996</v>
      </c>
      <c r="E31" s="20">
        <v>-1.8182430000000001</v>
      </c>
      <c r="F31" s="20">
        <f>-1.276834-2.577383</f>
        <v>-3.8542170000000002</v>
      </c>
      <c r="G31" s="20">
        <f>4.52631-1.485321</f>
        <v>3.0409889999999997</v>
      </c>
      <c r="H31" s="20">
        <f>-0.534384+0.209292-I31-J31-K31</f>
        <v>1.5783140000000004</v>
      </c>
      <c r="I31" s="20">
        <f>-1.820904-0.95696</f>
        <v>-2.7778640000000001</v>
      </c>
      <c r="J31" s="20">
        <f>-0.494088+0.811305</f>
        <v>0.31721700000000003</v>
      </c>
      <c r="K31" s="20">
        <f>1.286925-0.729684</f>
        <v>0.5572410000000001</v>
      </c>
      <c r="L31" s="20">
        <f>-2.949675-0.056507-M31-N31-O31</f>
        <v>-1.5877139999999998</v>
      </c>
      <c r="M31" s="20">
        <f>-1.218337-0.428723</f>
        <v>-1.64706</v>
      </c>
      <c r="N31" s="20">
        <f>-2.011493+0.238274</f>
        <v>-1.7732190000000001</v>
      </c>
      <c r="O31" s="20">
        <f>7.819353-5.817542</f>
        <v>2.001811</v>
      </c>
      <c r="P31" s="20">
        <f>-8.769754-S31-R31-Q31</f>
        <v>3.7302459999999993</v>
      </c>
      <c r="Q31" s="20">
        <v>-6.7</v>
      </c>
      <c r="R31" s="20">
        <v>-5.7</v>
      </c>
      <c r="S31" s="20">
        <v>-0.1</v>
      </c>
      <c r="T31" s="20">
        <f>-1.035811-W31-V31-U31</f>
        <v>-0.23581100000000002</v>
      </c>
      <c r="U31" s="20">
        <v>-0.1</v>
      </c>
      <c r="V31" s="20">
        <v>-0.3</v>
      </c>
      <c r="W31" s="20">
        <v>-0.4</v>
      </c>
    </row>
    <row r="32" spans="1:25" s="33" customFormat="1">
      <c r="A32" s="20" t="s">
        <v>65</v>
      </c>
      <c r="B32" s="20">
        <f>-54.878615+43.390324-14.655995-4.789677-0.34118+5.105994</f>
        <v>-26.169149000000008</v>
      </c>
      <c r="C32" s="20">
        <f>-35.104538+27.343533-18.746893+0.291488+0.416414-2.046272</f>
        <v>-27.846267999999995</v>
      </c>
      <c r="D32" s="20">
        <f>-138.800636+116.093888+3.03901+1.92879+1.806043+0.697148-E32-F32-G32</f>
        <v>3.5078430000000083</v>
      </c>
      <c r="E32" s="20">
        <f>-32.852151+30.470944+10.322664-0.053919+0.888293-1.950317</f>
        <v>6.8255140000000001</v>
      </c>
      <c r="F32" s="20">
        <f>-33.298879+31.068248+3.906351+1.332748-4.871634+1.746204</f>
        <v>-0.11696199999999912</v>
      </c>
      <c r="G32" s="20">
        <f>-48.209868+33.794136-6.856562-2.494867-4.471094+2.786103</f>
        <v>-25.452151999999998</v>
      </c>
      <c r="H32" s="20">
        <f>-151.010762+145.507733-2.015452+0.922324-4.951094-I32-J32-K32</f>
        <v>-8.5741000000003176E-2</v>
      </c>
      <c r="I32" s="20">
        <f>-38.833068+41.90582+5.021362-3.601417-5.958546+5.320842</f>
        <v>3.8549930000000012</v>
      </c>
      <c r="J32" s="20">
        <f>-47.523163+31.377236+11.942909-0.304277-4.613748-3.592728</f>
        <v>-12.713770999999998</v>
      </c>
      <c r="K32" s="20">
        <f>-28.216824+31.440365-10.030312-0.957132+2.948985+2.212186</f>
        <v>-2.6027319999999987</v>
      </c>
      <c r="L32" s="20">
        <f>15.698765-2.673915-3.694585-3.382592+17.360724</f>
        <v>23.308397000000003</v>
      </c>
      <c r="M32" s="20">
        <f>2.934492+3.616317+0.743924-0.462756-1.436735</f>
        <v>5.3952419999999996</v>
      </c>
      <c r="N32" s="20">
        <f>-9.071274+8.705883-0.063177+0.832605-11.614989</f>
        <v>-11.210952000000001</v>
      </c>
      <c r="O32" s="20">
        <f>-13.804341-15.471239-0.004913+4.499564+15.589359</f>
        <v>-9.1915700000000005</v>
      </c>
      <c r="P32" s="20">
        <f>0.443407-2.920114+7.345681+13.520056-S32-R32-Q32</f>
        <v>24.489029999999996</v>
      </c>
      <c r="Q32" s="20">
        <f>-2.6+2.1-11.8+6.4+4.7+0.3</f>
        <v>-0.90000000000000013</v>
      </c>
      <c r="R32" s="20">
        <f>-8.8+4+0.1+0.6+3.3+0.3</f>
        <v>-0.50000000000000155</v>
      </c>
      <c r="S32" s="20">
        <f>-2.6-5.6+3.1-6+6.1+0.3</f>
        <v>-4.7</v>
      </c>
      <c r="T32" s="20">
        <f>-2.434819+10.985249-5.606966+1.654976-W32-V32-U32</f>
        <v>10.69844</v>
      </c>
      <c r="U32" s="20">
        <f>-8.9+6.6+1+7.3-0.2</f>
        <v>5.7999999999999989</v>
      </c>
      <c r="V32" s="20">
        <f>-10.5+8.2-3.1-3.6+1.1+0.2</f>
        <v>-7.7</v>
      </c>
      <c r="W32" s="20">
        <f>3-5.7+0.6-4.2+2.3-0.2</f>
        <v>-4.2000000000000011</v>
      </c>
    </row>
    <row r="33" spans="1:27"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c r="W33" s="20">
        <v>0</v>
      </c>
      <c r="Y33" s="27"/>
    </row>
    <row r="34" spans="1:27"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row>
    <row r="35" spans="1:27" s="27" customFormat="1">
      <c r="A35" s="27" t="s">
        <v>67</v>
      </c>
      <c r="B35" s="27">
        <v>-20.552811999999999</v>
      </c>
      <c r="C35" s="27">
        <v>-24.994002999999999</v>
      </c>
      <c r="D35" s="27">
        <f>-0.843156-E35-F35-G35</f>
        <v>10.034303</v>
      </c>
      <c r="E35" s="27">
        <v>12.474085000000001</v>
      </c>
      <c r="F35" s="27">
        <v>-0.598499</v>
      </c>
      <c r="G35" s="27">
        <v>-22.753045</v>
      </c>
      <c r="H35" s="27">
        <f>30.570461-I35-J35-K35</f>
        <v>11.598270000000001</v>
      </c>
      <c r="I35" s="27">
        <f>12.321265</f>
        <v>12.321265</v>
      </c>
      <c r="J35" s="27">
        <v>3.7623829999999998</v>
      </c>
      <c r="K35" s="27">
        <v>2.8885429999999999</v>
      </c>
      <c r="L35" s="27">
        <v>10.640511</v>
      </c>
      <c r="M35" s="27">
        <v>11.425504999999999</v>
      </c>
      <c r="N35" s="27">
        <v>1.772203</v>
      </c>
      <c r="O35" s="27">
        <v>-30.432858</v>
      </c>
      <c r="P35" s="27">
        <f>67.583485-S35-R35-Q35</f>
        <v>29.483484999999995</v>
      </c>
      <c r="Q35" s="27">
        <v>21.5</v>
      </c>
      <c r="R35" s="27">
        <v>11.9</v>
      </c>
      <c r="S35" s="27">
        <v>4.7</v>
      </c>
      <c r="T35" s="27">
        <f>28.182736-W35-V35-U35</f>
        <v>12.382736</v>
      </c>
      <c r="U35" s="27">
        <v>12.6</v>
      </c>
      <c r="V35" s="27">
        <v>3.2</v>
      </c>
      <c r="W35" s="27">
        <v>0</v>
      </c>
    </row>
    <row r="36" spans="1:27" s="33" customFormat="1">
      <c r="A36" s="20" t="s">
        <v>68</v>
      </c>
      <c r="B36" s="29">
        <v>-2.8480530000000002</v>
      </c>
      <c r="C36" s="29">
        <f>-4.379492-0.001189</f>
        <v>-4.380681</v>
      </c>
      <c r="D36" s="29">
        <f>-18.387294-0.082788-E36-F36-G36</f>
        <v>-4.6408030000000027</v>
      </c>
      <c r="E36" s="29">
        <f>-6.138922-0.01187</f>
        <v>-6.150792</v>
      </c>
      <c r="F36" s="29">
        <v>-4.3894599999999997</v>
      </c>
      <c r="G36" s="29">
        <f>-3.239369-0.049658</f>
        <v>-3.2890269999999999</v>
      </c>
      <c r="H36" s="29">
        <f>-10.151604-0.072786-I36-J36-K36</f>
        <v>-2.8779710000000014</v>
      </c>
      <c r="I36" s="29">
        <f>-2.977948-0.020864</f>
        <v>-2.998812</v>
      </c>
      <c r="J36" s="29">
        <v>-2.4355310000000001</v>
      </c>
      <c r="K36" s="29">
        <f>-1.89767-0.014406</f>
        <v>-1.9120759999999999</v>
      </c>
      <c r="L36" s="29">
        <f>-2.524656-0.023745</f>
        <v>-2.5484009999999997</v>
      </c>
      <c r="M36" s="29">
        <f>-3.47125-0.049773</f>
        <v>-3.521023</v>
      </c>
      <c r="N36" s="29">
        <v>-1.0180549999999999</v>
      </c>
      <c r="O36" s="29">
        <f>-0.559748-0.151376</f>
        <v>-0.71112400000000009</v>
      </c>
      <c r="P36" s="29">
        <f>-7.11078-S36-R36-Q36</f>
        <v>-1.6107799999999999</v>
      </c>
      <c r="Q36" s="29">
        <v>-1.3</v>
      </c>
      <c r="R36" s="29">
        <v>-2.2000000000000002</v>
      </c>
      <c r="S36" s="29">
        <v>-2</v>
      </c>
      <c r="T36" s="29">
        <f>-7.539874-W36-V36-U36</f>
        <v>-1.2398739999999999</v>
      </c>
      <c r="U36" s="29">
        <v>-1.6</v>
      </c>
      <c r="V36" s="29">
        <v>-2.7</v>
      </c>
      <c r="W36" s="29">
        <v>-2</v>
      </c>
    </row>
    <row r="37" spans="1:27" s="27" customFormat="1">
      <c r="A37" s="27" t="s">
        <v>69</v>
      </c>
      <c r="B37" s="27">
        <f t="shared" ref="B37:P37" si="26">+B35+B36</f>
        <v>-23.400865</v>
      </c>
      <c r="C37" s="27">
        <f t="shared" si="26"/>
        <v>-29.374683999999998</v>
      </c>
      <c r="D37" s="27">
        <f t="shared" si="26"/>
        <v>5.3934999999999969</v>
      </c>
      <c r="E37" s="27">
        <f t="shared" si="26"/>
        <v>6.3232930000000005</v>
      </c>
      <c r="F37" s="27">
        <f t="shared" si="26"/>
        <v>-4.987959</v>
      </c>
      <c r="G37" s="27">
        <f t="shared" si="26"/>
        <v>-26.042072000000001</v>
      </c>
      <c r="H37" s="27">
        <f t="shared" si="26"/>
        <v>8.7202990000000007</v>
      </c>
      <c r="I37" s="27">
        <f t="shared" si="26"/>
        <v>9.3224529999999994</v>
      </c>
      <c r="J37" s="27">
        <f t="shared" si="26"/>
        <v>1.3268519999999997</v>
      </c>
      <c r="K37" s="27">
        <f t="shared" si="26"/>
        <v>0.97646699999999997</v>
      </c>
      <c r="L37" s="27">
        <f t="shared" si="26"/>
        <v>8.0921099999999999</v>
      </c>
      <c r="M37" s="27">
        <f t="shared" si="26"/>
        <v>7.9044819999999998</v>
      </c>
      <c r="N37" s="27">
        <f t="shared" si="26"/>
        <v>0.75414800000000004</v>
      </c>
      <c r="O37" s="27">
        <f t="shared" si="26"/>
        <v>-31.143982000000001</v>
      </c>
      <c r="P37" s="27">
        <f t="shared" si="26"/>
        <v>27.872704999999996</v>
      </c>
      <c r="Q37" s="27">
        <f t="shared" ref="Q37:W37" si="27">+Q35+Q36</f>
        <v>20.2</v>
      </c>
      <c r="R37" s="27">
        <f t="shared" si="27"/>
        <v>9.6999999999999993</v>
      </c>
      <c r="S37" s="27">
        <f t="shared" si="27"/>
        <v>2.7</v>
      </c>
      <c r="T37" s="27">
        <f t="shared" si="27"/>
        <v>11.142861999999999</v>
      </c>
      <c r="U37" s="27">
        <f t="shared" si="27"/>
        <v>11</v>
      </c>
      <c r="V37" s="27">
        <f t="shared" si="27"/>
        <v>0.5</v>
      </c>
      <c r="W37" s="27">
        <f t="shared" si="27"/>
        <v>-2</v>
      </c>
    </row>
    <row r="38" spans="1:27">
      <c r="B38" s="90"/>
      <c r="C38" s="90"/>
      <c r="D38" s="90"/>
      <c r="E38" s="90"/>
      <c r="F38" s="90"/>
      <c r="G38" s="90"/>
      <c r="H38" s="90"/>
      <c r="I38" s="90"/>
      <c r="J38" s="90"/>
      <c r="K38" s="90"/>
      <c r="L38" s="90"/>
      <c r="M38" s="90"/>
      <c r="N38" s="90"/>
      <c r="O38" s="90"/>
      <c r="Z38" s="76"/>
      <c r="AA38" s="76"/>
    </row>
    <row r="39" spans="1:27" s="35" customFormat="1">
      <c r="A39" s="34" t="s">
        <v>70</v>
      </c>
      <c r="B39" s="20">
        <v>15.858892000000001</v>
      </c>
      <c r="C39" s="20">
        <v>21.1</v>
      </c>
      <c r="D39" s="20">
        <v>0</v>
      </c>
      <c r="E39" s="20">
        <v>0</v>
      </c>
      <c r="F39" s="20">
        <v>1</v>
      </c>
      <c r="G39" s="20">
        <v>45</v>
      </c>
      <c r="H39" s="20">
        <v>4.2</v>
      </c>
      <c r="I39" s="20">
        <v>19</v>
      </c>
      <c r="J39" s="20">
        <v>30</v>
      </c>
      <c r="K39" s="20">
        <v>35</v>
      </c>
      <c r="L39" s="20">
        <v>0</v>
      </c>
      <c r="M39" s="20">
        <v>0</v>
      </c>
      <c r="N39" s="20">
        <f>4.8</f>
        <v>4.8</v>
      </c>
      <c r="O39" s="20">
        <v>7.4836619999999998</v>
      </c>
      <c r="P39" s="20">
        <v>0</v>
      </c>
      <c r="Q39" s="20"/>
      <c r="R39" s="20"/>
      <c r="S39" s="20"/>
      <c r="T39" s="20"/>
      <c r="U39" s="20"/>
      <c r="V39" s="20"/>
      <c r="W39" s="20"/>
      <c r="Y39" s="33"/>
      <c r="Z39" s="33"/>
      <c r="AA39" s="33"/>
    </row>
    <row r="40" spans="1:27" s="35" customFormat="1">
      <c r="A40" s="34" t="s">
        <v>71</v>
      </c>
      <c r="B40" s="20">
        <f>464.006234+1.027814</f>
        <v>465.03404799999998</v>
      </c>
      <c r="C40" s="20">
        <f>400.205216+0.815271</f>
        <v>401.020487</v>
      </c>
      <c r="D40" s="20">
        <f>401.236673+0.904208</f>
        <v>402.14088099999998</v>
      </c>
      <c r="E40" s="20">
        <f>403.299587+1.095931</f>
        <v>404.39551799999998</v>
      </c>
      <c r="F40" s="20">
        <f>404.331043+0.870326</f>
        <v>405.201369</v>
      </c>
      <c r="G40" s="20">
        <f>405.3625+0.83251</f>
        <v>406.19501000000002</v>
      </c>
      <c r="H40" s="20">
        <f>260.675954+0.653981</f>
        <v>261.32993499999998</v>
      </c>
      <c r="I40" s="20">
        <f>261.6875+1.058528</f>
        <v>262.74602800000002</v>
      </c>
      <c r="J40" s="20">
        <f>261.6875+1.137167</f>
        <v>262.82466699999998</v>
      </c>
      <c r="K40" s="20">
        <f>262.35+1.23261</f>
        <v>263.58261000000005</v>
      </c>
      <c r="L40" s="20">
        <f>251.443172+11.569328+0.980179</f>
        <v>263.99267900000001</v>
      </c>
      <c r="M40" s="20">
        <f>266.340125-1.515</f>
        <v>264.82512500000001</v>
      </c>
      <c r="N40" s="20">
        <f>264.3375+0.972272</f>
        <v>265.30977199999995</v>
      </c>
      <c r="O40" s="20">
        <f>265+1.009885</f>
        <v>266.009885</v>
      </c>
      <c r="P40" s="20">
        <v>245</v>
      </c>
      <c r="Q40" s="20"/>
      <c r="R40" s="20"/>
      <c r="S40" s="20"/>
      <c r="T40" s="20"/>
      <c r="U40" s="20"/>
      <c r="V40" s="20"/>
      <c r="W40" s="20"/>
      <c r="Y40" s="33"/>
      <c r="Z40" s="33"/>
      <c r="AA40" s="33"/>
    </row>
    <row r="41" spans="1:27" s="35" customFormat="1">
      <c r="A41" s="34" t="s">
        <v>72</v>
      </c>
      <c r="B41" s="20">
        <f t="shared" ref="B41:N41" si="28">B39+B40+80</f>
        <v>560.89293999999995</v>
      </c>
      <c r="C41" s="20">
        <f t="shared" si="28"/>
        <v>502.12048700000003</v>
      </c>
      <c r="D41" s="20">
        <f t="shared" si="28"/>
        <v>482.14088099999998</v>
      </c>
      <c r="E41" s="20">
        <f t="shared" si="28"/>
        <v>484.39551799999998</v>
      </c>
      <c r="F41" s="20">
        <f t="shared" si="28"/>
        <v>486.201369</v>
      </c>
      <c r="G41" s="20">
        <f t="shared" si="28"/>
        <v>531.19501000000002</v>
      </c>
      <c r="H41" s="20">
        <f t="shared" si="28"/>
        <v>345.52993499999997</v>
      </c>
      <c r="I41" s="20">
        <f t="shared" si="28"/>
        <v>361.74602800000002</v>
      </c>
      <c r="J41" s="20">
        <f t="shared" si="28"/>
        <v>372.82466699999998</v>
      </c>
      <c r="K41" s="20">
        <f t="shared" si="28"/>
        <v>378.58261000000005</v>
      </c>
      <c r="L41" s="20">
        <f t="shared" si="28"/>
        <v>343.99267900000001</v>
      </c>
      <c r="M41" s="20">
        <f t="shared" si="28"/>
        <v>344.82512500000001</v>
      </c>
      <c r="N41" s="20">
        <f t="shared" si="28"/>
        <v>350.10977199999996</v>
      </c>
      <c r="O41" s="20">
        <f>O39+O40+100</f>
        <v>373.49354699999998</v>
      </c>
      <c r="P41" s="20">
        <f>P39+P40+100</f>
        <v>345</v>
      </c>
      <c r="Q41" s="20"/>
      <c r="R41" s="20"/>
      <c r="S41" s="20"/>
      <c r="T41" s="20"/>
      <c r="U41" s="20"/>
      <c r="V41" s="20"/>
      <c r="W41" s="20"/>
      <c r="Y41" s="33"/>
      <c r="Z41" s="33"/>
    </row>
    <row r="42" spans="1:27" s="35" customFormat="1">
      <c r="A42" s="34" t="s">
        <v>73</v>
      </c>
      <c r="B42" s="36">
        <v>147</v>
      </c>
      <c r="C42" s="36">
        <v>147</v>
      </c>
      <c r="D42" s="36">
        <v>147</v>
      </c>
      <c r="E42" s="36">
        <v>147</v>
      </c>
      <c r="F42" s="36">
        <v>147</v>
      </c>
      <c r="G42" s="36">
        <v>147</v>
      </c>
      <c r="H42" s="36">
        <v>147</v>
      </c>
      <c r="I42" s="36">
        <v>147</v>
      </c>
      <c r="J42" s="36">
        <v>147</v>
      </c>
      <c r="K42" s="36">
        <v>147</v>
      </c>
      <c r="L42" s="36">
        <v>147</v>
      </c>
      <c r="M42" s="36">
        <v>147</v>
      </c>
      <c r="N42" s="36">
        <v>147</v>
      </c>
      <c r="O42" s="36">
        <v>147</v>
      </c>
      <c r="P42" s="36">
        <v>147</v>
      </c>
      <c r="Q42" s="36"/>
      <c r="R42" s="36"/>
      <c r="S42" s="36"/>
      <c r="T42" s="36"/>
      <c r="U42" s="36"/>
      <c r="V42" s="36"/>
      <c r="W42" s="36"/>
    </row>
    <row r="43" spans="1:27">
      <c r="B43" s="35"/>
      <c r="C43" s="35"/>
      <c r="D43" s="35"/>
      <c r="E43" s="35"/>
      <c r="F43" s="35"/>
      <c r="G43" s="35"/>
      <c r="H43" s="35"/>
      <c r="I43" s="35"/>
      <c r="J43" s="35"/>
      <c r="K43" s="35"/>
      <c r="L43" s="35"/>
      <c r="M43" s="35"/>
      <c r="N43" s="35"/>
      <c r="O43" s="35"/>
      <c r="P43" s="35"/>
      <c r="Q43" s="35"/>
      <c r="R43" s="35"/>
    </row>
    <row r="44" spans="1:27">
      <c r="A44" s="19" t="s">
        <v>74</v>
      </c>
      <c r="B44" s="28">
        <v>0.41767599999999999</v>
      </c>
      <c r="C44" s="28">
        <v>0.31234699999999999</v>
      </c>
      <c r="D44" s="28">
        <v>10.065295000000001</v>
      </c>
      <c r="E44" s="28">
        <v>5.9949589999999997</v>
      </c>
      <c r="F44" s="28">
        <v>114.76900000000001</v>
      </c>
      <c r="G44" s="28">
        <v>46.348588999999997</v>
      </c>
      <c r="H44" s="28">
        <v>7.5938000000000005E-2</v>
      </c>
      <c r="I44" s="28">
        <v>5.3001909999999999</v>
      </c>
      <c r="J44" s="28">
        <v>2.7056390000000001</v>
      </c>
      <c r="K44" s="28">
        <v>2.923203</v>
      </c>
      <c r="L44" s="28">
        <v>17.210557000000001</v>
      </c>
      <c r="M44" s="28">
        <v>4.0775329999999999</v>
      </c>
      <c r="N44" s="28">
        <v>1.7312129999999999</v>
      </c>
      <c r="O44" s="28">
        <v>9.6362559999999995</v>
      </c>
      <c r="P44" s="28">
        <v>0</v>
      </c>
      <c r="Q44" s="28"/>
      <c r="R44" s="28"/>
      <c r="S44" s="28"/>
      <c r="T44" s="28"/>
      <c r="U44" s="57"/>
      <c r="V44" s="57"/>
      <c r="W44" s="57"/>
    </row>
    <row r="46" spans="1:27">
      <c r="A46" s="14" t="s">
        <v>75</v>
      </c>
      <c r="B46" s="33">
        <f t="shared" ref="B46:O46" si="29">SUM(B12:E12)</f>
        <v>615.47811299999989</v>
      </c>
      <c r="C46" s="33">
        <f t="shared" si="29"/>
        <v>565.6691669999999</v>
      </c>
      <c r="D46" s="33">
        <f t="shared" si="29"/>
        <v>559.01702899999987</v>
      </c>
      <c r="E46" s="33">
        <f t="shared" si="29"/>
        <v>554.79383299999995</v>
      </c>
      <c r="F46" s="33">
        <f t="shared" si="29"/>
        <v>582.26116499999989</v>
      </c>
      <c r="G46" s="33">
        <f t="shared" si="29"/>
        <v>619.13072199999999</v>
      </c>
      <c r="H46" s="33">
        <f t="shared" si="29"/>
        <v>610.22840499999995</v>
      </c>
      <c r="I46" s="33">
        <f t="shared" si="29"/>
        <v>594.03184999999996</v>
      </c>
      <c r="J46" s="33">
        <f t="shared" si="29"/>
        <v>572.03065200000003</v>
      </c>
      <c r="K46" s="33">
        <f t="shared" si="29"/>
        <v>545.22553100000005</v>
      </c>
      <c r="L46" s="33">
        <f t="shared" si="29"/>
        <v>532.40088200000002</v>
      </c>
      <c r="M46" s="33">
        <f t="shared" si="29"/>
        <v>530.39606700000002</v>
      </c>
      <c r="N46" s="33">
        <f t="shared" si="29"/>
        <v>515.23754299999996</v>
      </c>
      <c r="O46" s="33">
        <f t="shared" si="29"/>
        <v>497.250834</v>
      </c>
      <c r="P46" s="51">
        <v>489</v>
      </c>
      <c r="Q46" s="33"/>
      <c r="R46" s="33"/>
      <c r="S46" s="33"/>
      <c r="T46" s="33"/>
    </row>
    <row r="47" spans="1:27">
      <c r="A47" s="14" t="s">
        <v>76</v>
      </c>
      <c r="B47" s="33">
        <f t="shared" ref="B47" si="30">+B27</f>
        <v>90.356948000000003</v>
      </c>
      <c r="C47" s="33">
        <f t="shared" ref="C47:D47" si="31">+C27</f>
        <v>82.676856999999998</v>
      </c>
      <c r="D47" s="33">
        <f t="shared" si="31"/>
        <v>77.415976000000001</v>
      </c>
      <c r="E47" s="33">
        <f t="shared" ref="E47:F47" si="32">+E27</f>
        <v>75.489061000000007</v>
      </c>
      <c r="F47" s="33">
        <f t="shared" si="32"/>
        <v>79.747755999999995</v>
      </c>
      <c r="G47" s="33">
        <f t="shared" ref="G47:H47" si="33">+G27</f>
        <v>90.626144999999994</v>
      </c>
      <c r="H47" s="33">
        <f t="shared" si="33"/>
        <v>84.381612000000004</v>
      </c>
      <c r="I47" s="33">
        <f t="shared" ref="I47" si="34">+I27</f>
        <v>77.936688000000004</v>
      </c>
      <c r="J47" s="33">
        <f t="shared" ref="J47:O47" si="35">+J27</f>
        <v>76.132806000000002</v>
      </c>
      <c r="K47" s="33">
        <f t="shared" si="35"/>
        <v>73.180404999999993</v>
      </c>
      <c r="L47" s="33">
        <f t="shared" si="35"/>
        <v>62.589360000000006</v>
      </c>
      <c r="M47" s="33">
        <f t="shared" si="35"/>
        <v>59.818810999999997</v>
      </c>
      <c r="N47" s="33">
        <f t="shared" si="35"/>
        <v>58.219614999999997</v>
      </c>
      <c r="O47" s="33">
        <f t="shared" si="35"/>
        <v>55.440858000000006</v>
      </c>
      <c r="P47" s="51">
        <v>58</v>
      </c>
      <c r="Q47" s="33"/>
      <c r="R47" s="33"/>
      <c r="S47" s="33"/>
      <c r="T47" s="33"/>
    </row>
    <row r="48" spans="1:27">
      <c r="A48" s="14" t="s">
        <v>77</v>
      </c>
      <c r="B48" s="33">
        <f t="shared" ref="B48:O48" si="36">+SUM(B37:E37)</f>
        <v>-41.058756000000002</v>
      </c>
      <c r="C48" s="33">
        <f t="shared" si="36"/>
        <v>-22.645850000000003</v>
      </c>
      <c r="D48" s="33">
        <f t="shared" si="36"/>
        <v>-19.313238000000005</v>
      </c>
      <c r="E48" s="33">
        <f t="shared" si="36"/>
        <v>-15.986439000000001</v>
      </c>
      <c r="F48" s="33">
        <f t="shared" si="36"/>
        <v>-12.987279000000001</v>
      </c>
      <c r="G48" s="33">
        <f t="shared" si="36"/>
        <v>-6.6724680000000012</v>
      </c>
      <c r="H48" s="33">
        <f t="shared" si="36"/>
        <v>20.346070999999998</v>
      </c>
      <c r="I48" s="33">
        <f t="shared" si="36"/>
        <v>19.717881999999996</v>
      </c>
      <c r="J48" s="33">
        <f t="shared" si="36"/>
        <v>18.299911000000002</v>
      </c>
      <c r="K48" s="33">
        <f t="shared" si="36"/>
        <v>17.727207</v>
      </c>
      <c r="L48" s="33">
        <f t="shared" si="36"/>
        <v>-14.393242000000001</v>
      </c>
      <c r="M48" s="33">
        <f t="shared" si="36"/>
        <v>5.3873529999999974</v>
      </c>
      <c r="N48" s="33">
        <f t="shared" si="36"/>
        <v>17.682870999999995</v>
      </c>
      <c r="O48" s="33">
        <f t="shared" si="36"/>
        <v>26.628722999999994</v>
      </c>
      <c r="P48" s="33">
        <v>23.799088267723945</v>
      </c>
      <c r="Q48" s="33"/>
      <c r="R48" s="33"/>
      <c r="S48" s="33"/>
      <c r="T48" s="33"/>
    </row>
    <row r="50" spans="1:23" s="37" customFormat="1">
      <c r="A50" s="37" t="s">
        <v>78</v>
      </c>
      <c r="B50" s="37">
        <f t="shared" ref="B50" si="37">+SUM(B39:B40)/B47</f>
        <v>5.3221467816730597</v>
      </c>
      <c r="C50" s="37">
        <f t="shared" ref="C50:D50" si="38">+SUM(C39:C40)/C47</f>
        <v>5.1056668373351446</v>
      </c>
      <c r="D50" s="37">
        <f t="shared" si="38"/>
        <v>5.1945464202376002</v>
      </c>
      <c r="E50" s="37">
        <f t="shared" ref="E50:F50" si="39">+SUM(E39:E40)/E47</f>
        <v>5.3570081895706707</v>
      </c>
      <c r="F50" s="37">
        <f t="shared" si="39"/>
        <v>5.0935774167739591</v>
      </c>
      <c r="G50" s="37">
        <f t="shared" ref="G50:L50" si="40">+SUM(G39:G40)/G47</f>
        <v>4.9786406560711596</v>
      </c>
      <c r="H50" s="37">
        <f t="shared" si="40"/>
        <v>3.146774856588423</v>
      </c>
      <c r="I50" s="37">
        <f t="shared" si="40"/>
        <v>3.6150628828363867</v>
      </c>
      <c r="J50" s="37">
        <f t="shared" si="40"/>
        <v>3.8462350514179127</v>
      </c>
      <c r="K50" s="37">
        <f t="shared" si="40"/>
        <v>4.0800896086869169</v>
      </c>
      <c r="L50" s="37">
        <f t="shared" si="40"/>
        <v>4.2178523474277414</v>
      </c>
      <c r="M50" s="37">
        <f t="shared" ref="M50:P50" si="41">+SUM(M39:M40)/M47</f>
        <v>4.4271211776509567</v>
      </c>
      <c r="N50" s="37">
        <f t="shared" si="41"/>
        <v>4.6394977362869882</v>
      </c>
      <c r="O50" s="37">
        <f t="shared" si="41"/>
        <v>4.9330684420504447</v>
      </c>
      <c r="P50" s="37">
        <f t="shared" si="41"/>
        <v>4.2241379310344831</v>
      </c>
    </row>
    <row r="51" spans="1:23" s="37" customFormat="1">
      <c r="A51" s="37" t="s">
        <v>79</v>
      </c>
      <c r="B51" s="37">
        <f t="shared" ref="B51" si="42">+B41/B47</f>
        <v>6.2075241850798228</v>
      </c>
      <c r="C51" s="37">
        <f t="shared" ref="C51:D51" si="43">+C41/C47</f>
        <v>6.0732894938180833</v>
      </c>
      <c r="D51" s="37">
        <f t="shared" si="43"/>
        <v>6.2279248536503626</v>
      </c>
      <c r="E51" s="37">
        <f t="shared" ref="E51:F51" si="44">+E41/E47</f>
        <v>6.4167643839151731</v>
      </c>
      <c r="F51" s="37">
        <f t="shared" si="44"/>
        <v>6.096740439944166</v>
      </c>
      <c r="G51" s="37">
        <f t="shared" ref="G51:L51" si="45">+G41/G47</f>
        <v>5.8613881237031551</v>
      </c>
      <c r="H51" s="37">
        <f t="shared" si="45"/>
        <v>4.0948487094557988</v>
      </c>
      <c r="I51" s="37">
        <f t="shared" si="45"/>
        <v>4.6415370896951638</v>
      </c>
      <c r="J51" s="37">
        <f t="shared" si="45"/>
        <v>4.8970304207623707</v>
      </c>
      <c r="K51" s="37">
        <f t="shared" si="45"/>
        <v>5.1732784206373292</v>
      </c>
      <c r="L51" s="37">
        <f t="shared" si="45"/>
        <v>5.4960248674854633</v>
      </c>
      <c r="M51" s="37">
        <f t="shared" ref="M51:P51" si="46">+M41/M47</f>
        <v>5.764493129092787</v>
      </c>
      <c r="N51" s="37">
        <f t="shared" si="46"/>
        <v>6.0136050710744131</v>
      </c>
      <c r="O51" s="37">
        <f t="shared" si="46"/>
        <v>6.7367923310277762</v>
      </c>
      <c r="P51" s="37">
        <f t="shared" si="46"/>
        <v>5.9482758620689653</v>
      </c>
    </row>
    <row r="52" spans="1:23" s="37" customFormat="1">
      <c r="A52" s="37" t="s">
        <v>80</v>
      </c>
      <c r="B52" s="37">
        <f t="shared" ref="B52" si="47">+(B41-B44)/B47</f>
        <v>6.2029016739255063</v>
      </c>
      <c r="C52" s="37">
        <f t="shared" ref="C52:D52" si="48">+(C41-C44)/C47</f>
        <v>6.0695115683945273</v>
      </c>
      <c r="D52" s="37">
        <f t="shared" si="48"/>
        <v>6.0979091189136465</v>
      </c>
      <c r="E52" s="37">
        <f t="shared" ref="E52:F52" si="49">+(E41-E44)/E47</f>
        <v>6.3373494472265319</v>
      </c>
      <c r="F52" s="37">
        <f t="shared" si="49"/>
        <v>4.6575902273663976</v>
      </c>
      <c r="G52" s="37">
        <f t="shared" ref="G52:H52" si="50">+(G41-G44)/G47</f>
        <v>5.3499618791023282</v>
      </c>
      <c r="H52" s="37">
        <f t="shared" si="50"/>
        <v>4.0939487740528104</v>
      </c>
      <c r="I52" s="37">
        <f t="shared" ref="I52" si="51">+(I41-I44)/I47</f>
        <v>4.5735307227836008</v>
      </c>
      <c r="J52" s="37">
        <f t="shared" ref="J52:K52" si="52">+(J41-J44)/J47</f>
        <v>4.8614920091083986</v>
      </c>
      <c r="K52" s="37">
        <f t="shared" si="52"/>
        <v>5.13333326045408</v>
      </c>
      <c r="L52" s="37">
        <f t="shared" ref="L52" si="53">+(L41-L44)/L47</f>
        <v>5.2210491048318755</v>
      </c>
      <c r="M52" s="37">
        <f t="shared" ref="M52:P52" si="54">+(M41-M44)/M47</f>
        <v>5.6963284007768058</v>
      </c>
      <c r="N52" s="37">
        <f t="shared" si="54"/>
        <v>5.9838691650571709</v>
      </c>
      <c r="O52" s="37">
        <f t="shared" si="54"/>
        <v>6.5629808795527644</v>
      </c>
      <c r="P52" s="37">
        <f t="shared" si="54"/>
        <v>5.9482758620689653</v>
      </c>
    </row>
    <row r="53" spans="1:23" s="38" customFormat="1">
      <c r="A53" s="38" t="s">
        <v>81</v>
      </c>
      <c r="B53" s="38">
        <f t="shared" ref="B53" si="55">+B48/B41</f>
        <v>-7.3202483169069674E-2</v>
      </c>
      <c r="C53" s="38">
        <f t="shared" ref="C53:D53" si="56">+C48/C41</f>
        <v>-4.5100430247929722E-2</v>
      </c>
      <c r="D53" s="38">
        <f t="shared" si="56"/>
        <v>-4.0057250403539225E-2</v>
      </c>
      <c r="E53" s="38">
        <f t="shared" ref="E53:F53" si="57">+E48/E41</f>
        <v>-3.3002863168523376E-2</v>
      </c>
      <c r="F53" s="38">
        <f t="shared" si="57"/>
        <v>-2.6711728571870805E-2</v>
      </c>
      <c r="G53" s="38">
        <f t="shared" ref="G53:H53" si="58">+G48/G41</f>
        <v>-1.2561239986045804E-2</v>
      </c>
      <c r="H53" s="38">
        <f t="shared" si="58"/>
        <v>5.8883670961822746E-2</v>
      </c>
      <c r="I53" s="38">
        <f t="shared" ref="I53" si="59">+I48/I41</f>
        <v>5.4507528690819498E-2</v>
      </c>
      <c r="J53" s="38">
        <f t="shared" ref="J53:K53" si="60">+J48/J41</f>
        <v>4.9084496332427494E-2</v>
      </c>
      <c r="K53" s="38">
        <f t="shared" si="60"/>
        <v>4.6825201506218148E-2</v>
      </c>
      <c r="L53" s="38">
        <f t="shared" ref="L53" si="61">+L48/L41</f>
        <v>-4.1841710241746162E-2</v>
      </c>
      <c r="M53" s="38">
        <f t="shared" ref="M53:P53" si="62">+M48/M41</f>
        <v>1.5623435212268819E-2</v>
      </c>
      <c r="N53" s="38">
        <f t="shared" si="62"/>
        <v>5.050664795497338E-2</v>
      </c>
      <c r="O53" s="38">
        <f t="shared" si="62"/>
        <v>7.1296340228335975E-2</v>
      </c>
      <c r="P53" s="38">
        <f t="shared" si="62"/>
        <v>6.8982864544127373E-2</v>
      </c>
    </row>
    <row r="54" spans="1:23" s="38" customFormat="1">
      <c r="A54" s="39" t="s">
        <v>82</v>
      </c>
      <c r="B54" s="40"/>
      <c r="C54" s="40"/>
      <c r="D54" s="40"/>
      <c r="E54" s="40"/>
      <c r="F54" s="40"/>
      <c r="G54" s="40"/>
      <c r="H54" s="40"/>
      <c r="I54" s="40"/>
      <c r="J54" s="40"/>
      <c r="K54" s="40"/>
      <c r="L54" s="40"/>
      <c r="M54" s="40"/>
      <c r="N54" s="40"/>
      <c r="O54" s="40"/>
      <c r="P54" s="40"/>
      <c r="Q54" s="40"/>
      <c r="R54" s="40"/>
      <c r="S54" s="40"/>
      <c r="T54" s="40"/>
      <c r="U54" s="39"/>
      <c r="V54" s="39"/>
      <c r="W54" s="39"/>
    </row>
    <row r="55" spans="1:23" s="38" customFormat="1">
      <c r="A55" s="38" t="s">
        <v>83</v>
      </c>
      <c r="B55" s="41">
        <f t="shared" ref="B55" si="63">IF(B42=0,IF(B54="","","*"&amp;TEXT(B54,"0.0x")),(B41+B42-B44)/B47)</f>
        <v>7.8297826526854353</v>
      </c>
      <c r="C55" s="41">
        <f t="shared" ref="C55:D55" si="64">IF(C42=0,IF(C54="","","*"&amp;TEXT(C54,"0.0x")),(C41+C42-C44)/C47)</f>
        <v>7.8475181996819252</v>
      </c>
      <c r="D55" s="41">
        <f t="shared" si="64"/>
        <v>7.996741990309598</v>
      </c>
      <c r="E55" s="41">
        <f t="shared" ref="E55:F55" si="65">IF(E42=0,IF(E54="","","*"&amp;TEXT(E54,"0.0x")),(E41+E42-E44)/E47)</f>
        <v>8.284651454334556</v>
      </c>
      <c r="F55" s="41">
        <f t="shared" si="65"/>
        <v>6.5009022824416531</v>
      </c>
      <c r="G55" s="41">
        <f t="shared" ref="G55:H55" si="66">IF(G42=0,IF(G54="","","*"&amp;TEXT(G54,"0.0x")),(G41+G42-G44)/G47)</f>
        <v>6.9720103508761202</v>
      </c>
      <c r="H55" s="41">
        <f t="shared" si="66"/>
        <v>5.8360344786966136</v>
      </c>
      <c r="I55" s="41">
        <f t="shared" ref="I55" si="67">IF(I42=0,IF(I54="","","*"&amp;TEXT(I54,"0.0x")),(I41+I42-I44)/I47)</f>
        <v>6.4596770778866048</v>
      </c>
      <c r="J55" s="41">
        <f t="shared" ref="J55:K55" si="68">IF(J42=0,IF(J54="","","*"&amp;TEXT(J54,"0.0x")),(J41+J42-J44)/J47)</f>
        <v>6.7923285002788409</v>
      </c>
      <c r="K55" s="41">
        <f t="shared" si="68"/>
        <v>7.1420677024129633</v>
      </c>
      <c r="L55" s="41">
        <f t="shared" ref="L55" si="69">IF(L42=0,IF(L54="","","*"&amp;TEXT(L54,"0.0x")),(L41+L42-L44)/L47)</f>
        <v>7.5696911104379394</v>
      </c>
      <c r="M55" s="41">
        <f t="shared" ref="M55:P55" si="70">IF(M42=0,IF(M54="","","*"&amp;TEXT(M54,"0.0x")),(M41+M42-M44)/M47)</f>
        <v>8.1537493615511689</v>
      </c>
      <c r="N55" s="41">
        <f t="shared" si="70"/>
        <v>8.5087913927290657</v>
      </c>
      <c r="O55" s="41">
        <f t="shared" si="70"/>
        <v>9.214454996349442</v>
      </c>
      <c r="P55" s="41">
        <f t="shared" si="70"/>
        <v>8.4827586206896548</v>
      </c>
      <c r="Q55" s="41"/>
      <c r="R55" s="41"/>
      <c r="S55" s="41"/>
      <c r="T55" s="41"/>
      <c r="U55" s="41" t="str">
        <f>IF(U42=0,IF(U54="","",CONCATENATE("* ",U54,"x")),(U41+U42-U44)/U47)</f>
        <v/>
      </c>
      <c r="V55" s="41" t="str">
        <f>IF(V42=0,IF(V54="","",CONCATENATE("* ",V54,"x")),(V41+V42-V44)/V47)</f>
        <v/>
      </c>
      <c r="W55" s="41" t="str">
        <f>IF(W42=0,IF(W54="","",CONCATENATE("* ",W54,"x")),(W41+W42-W44)/W47)</f>
        <v/>
      </c>
    </row>
    <row r="56" spans="1:23">
      <c r="T56" s="42"/>
    </row>
    <row r="57" spans="1:23" ht="80.25" customHeight="1">
      <c r="A57" s="43" t="s">
        <v>84</v>
      </c>
      <c r="B57" s="44" t="s">
        <v>289</v>
      </c>
      <c r="C57" s="44" t="s">
        <v>289</v>
      </c>
      <c r="D57" s="44" t="s">
        <v>289</v>
      </c>
      <c r="E57" s="44" t="s">
        <v>289</v>
      </c>
      <c r="F57" s="44" t="s">
        <v>289</v>
      </c>
      <c r="G57" s="44" t="s">
        <v>289</v>
      </c>
      <c r="H57" s="44" t="s">
        <v>289</v>
      </c>
      <c r="I57" s="44" t="s">
        <v>289</v>
      </c>
      <c r="J57" s="44" t="s">
        <v>289</v>
      </c>
      <c r="K57" s="44" t="s">
        <v>289</v>
      </c>
      <c r="L57" s="44" t="s">
        <v>289</v>
      </c>
      <c r="M57" s="44"/>
      <c r="N57" s="44"/>
      <c r="O57" s="44"/>
      <c r="P57" s="44" t="s">
        <v>90</v>
      </c>
      <c r="Q57" s="44"/>
      <c r="R57" s="44"/>
      <c r="S57" s="44"/>
      <c r="T57" s="44"/>
      <c r="U57" s="44"/>
      <c r="V57" s="44"/>
      <c r="W57" s="44"/>
    </row>
    <row r="58" spans="1:23">
      <c r="A58" s="45"/>
      <c r="B58" s="42"/>
      <c r="C58" s="42"/>
      <c r="D58" s="42"/>
      <c r="E58" s="42"/>
      <c r="F58" s="42"/>
      <c r="G58" s="42"/>
      <c r="H58" s="42"/>
      <c r="I58" s="42"/>
      <c r="J58" s="42"/>
      <c r="K58" s="42"/>
      <c r="L58" s="42"/>
      <c r="M58" s="42"/>
      <c r="N58" s="42"/>
      <c r="O58" s="42"/>
      <c r="P58" s="42"/>
    </row>
    <row r="59" spans="1:23">
      <c r="A59" s="45"/>
    </row>
  </sheetData>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2:X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9" width="10.6640625" style="14" customWidth="1"/>
    <col min="20" max="16384" width="9.109375" style="14"/>
  </cols>
  <sheetData>
    <row r="2" spans="1:21">
      <c r="A2" s="13" t="s">
        <v>44</v>
      </c>
      <c r="B2" s="14" t="s">
        <v>263</v>
      </c>
    </row>
    <row r="3" spans="1:21" s="16" customFormat="1">
      <c r="A3" s="15" t="s">
        <v>45</v>
      </c>
      <c r="B3" s="16" t="s">
        <v>264</v>
      </c>
    </row>
    <row r="4" spans="1:21">
      <c r="A4" s="13" t="s">
        <v>2</v>
      </c>
      <c r="B4" s="14" t="s">
        <v>4</v>
      </c>
    </row>
    <row r="5" spans="1:21">
      <c r="A5" s="13" t="s">
        <v>46</v>
      </c>
    </row>
    <row r="6" spans="1:21">
      <c r="A6" s="13" t="s">
        <v>47</v>
      </c>
      <c r="B6" s="14">
        <v>3</v>
      </c>
    </row>
    <row r="7" spans="1:21">
      <c r="A7" s="13" t="s">
        <v>48</v>
      </c>
      <c r="B7" s="14" t="s">
        <v>454</v>
      </c>
    </row>
    <row r="8" spans="1:21">
      <c r="A8" s="13" t="s">
        <v>347</v>
      </c>
      <c r="B8" s="14" t="s">
        <v>365</v>
      </c>
    </row>
    <row r="9" spans="1:21">
      <c r="A9" s="17"/>
    </row>
    <row r="10" spans="1:21">
      <c r="A10" s="17" t="s">
        <v>49</v>
      </c>
      <c r="B10" s="18">
        <v>44377</v>
      </c>
      <c r="C10" s="18">
        <v>44286</v>
      </c>
      <c r="D10" s="18">
        <v>44196</v>
      </c>
      <c r="E10" s="18">
        <v>44104</v>
      </c>
      <c r="F10" s="18">
        <v>44012</v>
      </c>
      <c r="G10" s="18">
        <v>43921</v>
      </c>
      <c r="H10" s="18">
        <v>43830</v>
      </c>
      <c r="I10" s="18">
        <v>43738</v>
      </c>
      <c r="J10" s="18">
        <v>43646</v>
      </c>
      <c r="K10" s="18">
        <v>43555</v>
      </c>
      <c r="L10" s="18">
        <v>43465</v>
      </c>
      <c r="M10" s="18">
        <v>43373</v>
      </c>
      <c r="N10" s="18">
        <v>43281</v>
      </c>
      <c r="O10" s="18">
        <f>EOMONTH(N10,-3)</f>
        <v>43190</v>
      </c>
      <c r="P10" s="18">
        <f t="shared" ref="P10:S10" si="0">EOMONTH(O10,-3)</f>
        <v>43100</v>
      </c>
      <c r="Q10" s="18">
        <f t="shared" si="0"/>
        <v>43008</v>
      </c>
      <c r="R10" s="18">
        <f t="shared" si="0"/>
        <v>42916</v>
      </c>
      <c r="S10" s="18">
        <f t="shared" si="0"/>
        <v>42825</v>
      </c>
    </row>
    <row r="11" spans="1:21">
      <c r="B11" s="33"/>
      <c r="C11" s="33"/>
      <c r="D11" s="33"/>
      <c r="E11" s="33"/>
      <c r="F11" s="33"/>
      <c r="G11" s="33"/>
      <c r="H11" s="33"/>
      <c r="I11" s="33"/>
    </row>
    <row r="12" spans="1:21">
      <c r="A12" s="19" t="s">
        <v>50</v>
      </c>
      <c r="B12" s="20">
        <v>316.10000000000002</v>
      </c>
      <c r="C12" s="20">
        <v>258.065295633083</v>
      </c>
      <c r="D12" s="20">
        <v>263.46293765870746</v>
      </c>
      <c r="E12" s="20">
        <v>280.74580735732093</v>
      </c>
      <c r="F12" s="20">
        <v>261.5</v>
      </c>
      <c r="G12" s="20">
        <v>243.57111974854047</v>
      </c>
      <c r="H12" s="20">
        <v>269.5</v>
      </c>
      <c r="I12" s="20">
        <v>282.29622544909654</v>
      </c>
      <c r="J12" s="20">
        <v>240.58257882418479</v>
      </c>
      <c r="K12" s="20">
        <v>232.4</v>
      </c>
      <c r="L12" s="20">
        <f>H12/0.955</f>
        <v>282.19895287958116</v>
      </c>
      <c r="M12" s="20">
        <v>308.55099999999999</v>
      </c>
      <c r="N12" s="20">
        <v>242.31299999999999</v>
      </c>
      <c r="O12" s="20">
        <v>222.62162131620801</v>
      </c>
      <c r="P12" s="20">
        <v>287.89999999999998</v>
      </c>
      <c r="Q12" s="20">
        <v>282.67699999999996</v>
      </c>
      <c r="R12" s="20">
        <v>192.51300000000001</v>
      </c>
      <c r="S12" s="20">
        <v>178.21</v>
      </c>
    </row>
    <row r="13" spans="1:21" s="21" customFormat="1">
      <c r="A13" s="21" t="s">
        <v>51</v>
      </c>
      <c r="B13" s="21">
        <f t="shared" ref="B13:O13" si="1">+B12/F12-1</f>
        <v>0.20879541108986621</v>
      </c>
      <c r="C13" s="21">
        <f t="shared" si="1"/>
        <v>5.950695591294286E-2</v>
      </c>
      <c r="D13" s="21">
        <f t="shared" si="1"/>
        <v>-2.2400973437078031E-2</v>
      </c>
      <c r="E13" s="21">
        <f t="shared" si="1"/>
        <v>-5.4921672767997975E-3</v>
      </c>
      <c r="F13" s="21">
        <f t="shared" si="1"/>
        <v>8.6944870563971488E-2</v>
      </c>
      <c r="G13" s="21">
        <f t="shared" si="1"/>
        <v>4.8068501499743732E-2</v>
      </c>
      <c r="H13" s="21">
        <f t="shared" si="1"/>
        <v>-4.500000000000004E-2</v>
      </c>
      <c r="I13" s="21">
        <f t="shared" si="1"/>
        <v>-8.5090550835691503E-2</v>
      </c>
      <c r="J13" s="21">
        <f t="shared" si="1"/>
        <v>-7.1412642978924135E-3</v>
      </c>
      <c r="K13" s="21">
        <f t="shared" si="1"/>
        <v>4.3923760082148267E-2</v>
      </c>
      <c r="L13" s="21">
        <f t="shared" si="1"/>
        <v>-1.9802178257793734E-2</v>
      </c>
      <c r="M13" s="21">
        <f t="shared" si="1"/>
        <v>9.1532031258291457E-2</v>
      </c>
      <c r="N13" s="21">
        <f t="shared" si="1"/>
        <v>0.25868382914400567</v>
      </c>
      <c r="O13" s="21">
        <f t="shared" si="1"/>
        <v>0.24920947935698323</v>
      </c>
    </row>
    <row r="14" spans="1:21"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t="s">
        <v>3</v>
      </c>
      <c r="P14" s="23"/>
      <c r="Q14" s="23"/>
      <c r="R14" s="22"/>
      <c r="S14" s="22"/>
      <c r="U14" s="14"/>
    </row>
    <row r="16" spans="1:21" s="17" customFormat="1">
      <c r="A16" s="25" t="s">
        <v>53</v>
      </c>
      <c r="B16" s="26">
        <v>66.8</v>
      </c>
      <c r="C16" s="26">
        <v>56.196441932184499</v>
      </c>
      <c r="D16" s="26">
        <v>61.017412596738801</v>
      </c>
      <c r="E16" s="26">
        <v>69.75145412084089</v>
      </c>
      <c r="F16" s="26">
        <v>59.2</v>
      </c>
      <c r="G16" s="26">
        <v>53.041433429761319</v>
      </c>
      <c r="H16" s="26">
        <v>59.1</v>
      </c>
      <c r="I16" s="26">
        <v>64.609947449559499</v>
      </c>
      <c r="J16" s="26">
        <v>54.059725676161868</v>
      </c>
      <c r="K16" s="26">
        <v>54.8</v>
      </c>
      <c r="L16" s="26">
        <f>H16/0.82</f>
        <v>72.073170731707322</v>
      </c>
      <c r="M16" s="26">
        <v>78.577704417547864</v>
      </c>
      <c r="N16" s="26">
        <v>57.991243292956867</v>
      </c>
      <c r="O16" s="26">
        <v>52.320540667461202</v>
      </c>
      <c r="P16" s="26">
        <v>71.900000000000006</v>
      </c>
      <c r="Q16" s="26">
        <v>71.245000000000005</v>
      </c>
      <c r="R16" s="26">
        <v>47.394999999999996</v>
      </c>
      <c r="S16" s="26">
        <v>44.959999999999994</v>
      </c>
      <c r="U16" s="14"/>
    </row>
    <row r="17" spans="1:21" s="21" customFormat="1">
      <c r="A17" s="21" t="s">
        <v>54</v>
      </c>
      <c r="B17" s="21">
        <f t="shared" ref="B17:C17" si="2">+B16/B12</f>
        <v>0.21132552989560263</v>
      </c>
      <c r="C17" s="21">
        <f t="shared" si="2"/>
        <v>0.21776055472443126</v>
      </c>
      <c r="D17" s="21">
        <f t="shared" ref="D17:E17" si="3">+D16/D12</f>
        <v>0.23159770834932908</v>
      </c>
      <c r="E17" s="21">
        <f t="shared" si="3"/>
        <v>0.24845056379440175</v>
      </c>
      <c r="F17" s="21">
        <f t="shared" ref="F17:G17" si="4">+F16/F12</f>
        <v>0.22638623326959847</v>
      </c>
      <c r="G17" s="21">
        <f t="shared" si="4"/>
        <v>0.21776569194459744</v>
      </c>
      <c r="H17" s="21">
        <f t="shared" ref="H17:M17" si="5">+H16/H12</f>
        <v>0.21929499072356215</v>
      </c>
      <c r="I17" s="21">
        <f t="shared" si="5"/>
        <v>0.22887287049897137</v>
      </c>
      <c r="J17" s="21">
        <f t="shared" si="5"/>
        <v>0.22470340928412835</v>
      </c>
      <c r="K17" s="21">
        <f t="shared" si="5"/>
        <v>0.23580034423407917</v>
      </c>
      <c r="L17" s="21">
        <f t="shared" si="5"/>
        <v>0.25539843431829495</v>
      </c>
      <c r="M17" s="21">
        <f t="shared" si="5"/>
        <v>0.25466682790704898</v>
      </c>
      <c r="N17" s="21">
        <f t="shared" ref="N17:Q17" si="6">+N16/N12</f>
        <v>0.23932369824547947</v>
      </c>
      <c r="O17" s="21">
        <f t="shared" si="6"/>
        <v>0.23502003245743139</v>
      </c>
      <c r="P17" s="21">
        <f t="shared" si="6"/>
        <v>0.24973949287947209</v>
      </c>
      <c r="Q17" s="21">
        <f t="shared" si="6"/>
        <v>0.2520367769574462</v>
      </c>
      <c r="R17" s="21">
        <f t="shared" ref="R17:S17" si="7">+R16/R12</f>
        <v>0.2461911663108465</v>
      </c>
      <c r="S17" s="21">
        <f t="shared" si="7"/>
        <v>0.25228662813534591</v>
      </c>
    </row>
    <row r="18" spans="1:21" s="24" customFormat="1"/>
    <row r="19" spans="1:21"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row>
    <row r="20" spans="1:21"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row>
    <row r="21" spans="1:21"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row>
    <row r="22" spans="1:21" s="17" customFormat="1">
      <c r="A22" s="17" t="s">
        <v>58</v>
      </c>
      <c r="B22" s="27">
        <f t="shared" ref="B22" si="8">SUM(B16,B19:B21)</f>
        <v>66.8</v>
      </c>
      <c r="C22" s="27">
        <f t="shared" ref="C22:D22" si="9">SUM(C16,C19:C21)</f>
        <v>56.196441932184499</v>
      </c>
      <c r="D22" s="27">
        <f t="shared" si="9"/>
        <v>61.017412596738801</v>
      </c>
      <c r="E22" s="27">
        <f t="shared" ref="E22:F22" si="10">SUM(E16,E19:E21)</f>
        <v>69.75145412084089</v>
      </c>
      <c r="F22" s="27">
        <f t="shared" si="10"/>
        <v>59.2</v>
      </c>
      <c r="G22" s="27">
        <f t="shared" ref="G22:H22" si="11">SUM(G16,G19:G21)</f>
        <v>53.041433429761319</v>
      </c>
      <c r="H22" s="27">
        <f t="shared" si="11"/>
        <v>59.1</v>
      </c>
      <c r="I22" s="27">
        <f t="shared" ref="I22:J22" si="12">SUM(I16,I19:I21)</f>
        <v>64.609947449559499</v>
      </c>
      <c r="J22" s="27">
        <f t="shared" si="12"/>
        <v>54.059725676161868</v>
      </c>
      <c r="K22" s="27">
        <f t="shared" ref="K22:L22" si="13">SUM(K16,K19:K21)</f>
        <v>54.8</v>
      </c>
      <c r="L22" s="27">
        <f t="shared" si="13"/>
        <v>72.073170731707322</v>
      </c>
      <c r="M22" s="27">
        <f t="shared" ref="M22:Q22" si="14">SUM(M16,M19:M21)</f>
        <v>78.577704417547864</v>
      </c>
      <c r="N22" s="27">
        <f t="shared" si="14"/>
        <v>57.991243292956867</v>
      </c>
      <c r="O22" s="27">
        <f t="shared" si="14"/>
        <v>52.320540667461202</v>
      </c>
      <c r="P22" s="27">
        <f t="shared" si="14"/>
        <v>71.900000000000006</v>
      </c>
      <c r="Q22" s="27">
        <f t="shared" si="14"/>
        <v>71.245000000000005</v>
      </c>
      <c r="R22" s="27">
        <f t="shared" ref="R22:S22" si="15">SUM(R16,R19:R21)</f>
        <v>47.394999999999996</v>
      </c>
      <c r="S22" s="27">
        <f t="shared" si="15"/>
        <v>44.959999999999994</v>
      </c>
      <c r="U22" s="14"/>
    </row>
    <row r="23" spans="1:21" s="17" customFormat="1">
      <c r="B23" s="21"/>
      <c r="C23" s="21"/>
      <c r="D23" s="21"/>
      <c r="E23" s="21"/>
      <c r="F23" s="21"/>
      <c r="G23" s="21"/>
      <c r="H23" s="21"/>
      <c r="I23" s="21"/>
      <c r="J23" s="21"/>
      <c r="K23" s="21"/>
      <c r="L23" s="21"/>
      <c r="M23" s="21"/>
      <c r="N23" s="27"/>
      <c r="O23" s="27"/>
      <c r="P23" s="27"/>
      <c r="Q23" s="27"/>
      <c r="R23" s="27"/>
      <c r="S23" s="27"/>
    </row>
    <row r="24" spans="1:21" s="17" customFormat="1">
      <c r="A24" s="17" t="s">
        <v>59</v>
      </c>
      <c r="B24" s="27">
        <f t="shared" ref="B24:P24" si="16">SUM(B22:E22)</f>
        <v>253.76530864976419</v>
      </c>
      <c r="C24" s="27">
        <f t="shared" si="16"/>
        <v>246.1653086497642</v>
      </c>
      <c r="D24" s="27">
        <f t="shared" si="16"/>
        <v>243.01030014734104</v>
      </c>
      <c r="E24" s="27">
        <f t="shared" si="16"/>
        <v>241.0928875506022</v>
      </c>
      <c r="F24" s="27">
        <f t="shared" si="16"/>
        <v>235.95138087932082</v>
      </c>
      <c r="G24" s="27">
        <f t="shared" si="16"/>
        <v>230.8111065554827</v>
      </c>
      <c r="H24" s="27">
        <f t="shared" si="16"/>
        <v>232.56967312572135</v>
      </c>
      <c r="I24" s="27">
        <f t="shared" si="16"/>
        <v>245.54284385742869</v>
      </c>
      <c r="J24" s="27">
        <f t="shared" si="16"/>
        <v>259.51060082541704</v>
      </c>
      <c r="K24" s="27">
        <f t="shared" si="16"/>
        <v>263.44211844221206</v>
      </c>
      <c r="L24" s="27">
        <f t="shared" si="16"/>
        <v>260.96265910967327</v>
      </c>
      <c r="M24" s="27">
        <f t="shared" si="16"/>
        <v>260.78948837796599</v>
      </c>
      <c r="N24" s="27">
        <f t="shared" si="16"/>
        <v>253.45678396041808</v>
      </c>
      <c r="O24" s="27">
        <f t="shared" si="16"/>
        <v>242.86054066746118</v>
      </c>
      <c r="P24" s="27">
        <f t="shared" si="16"/>
        <v>235.5</v>
      </c>
      <c r="Q24" s="27"/>
      <c r="R24" s="27"/>
      <c r="S24" s="27"/>
    </row>
    <row r="25" spans="1:21" s="24" customFormat="1">
      <c r="A25" s="19" t="s">
        <v>60</v>
      </c>
      <c r="B25" s="28">
        <v>0</v>
      </c>
      <c r="C25" s="28">
        <v>0</v>
      </c>
      <c r="D25" s="28">
        <v>0</v>
      </c>
      <c r="E25" s="28">
        <v>0</v>
      </c>
      <c r="F25" s="28">
        <v>0</v>
      </c>
      <c r="G25" s="28">
        <v>0</v>
      </c>
      <c r="H25" s="28">
        <v>0</v>
      </c>
      <c r="I25" s="28">
        <v>0</v>
      </c>
      <c r="J25" s="28">
        <v>0</v>
      </c>
      <c r="K25" s="28">
        <v>0</v>
      </c>
      <c r="L25" s="28">
        <v>0</v>
      </c>
      <c r="M25" s="28">
        <v>0</v>
      </c>
      <c r="N25" s="28">
        <v>0</v>
      </c>
      <c r="O25" s="28">
        <v>0</v>
      </c>
      <c r="P25" s="28">
        <v>0</v>
      </c>
      <c r="Q25" s="28"/>
      <c r="R25" s="28"/>
      <c r="S25" s="28"/>
    </row>
    <row r="26" spans="1:21" s="24" customFormat="1">
      <c r="A26" s="19" t="s">
        <v>61</v>
      </c>
      <c r="B26" s="29">
        <f>289.8-B25-B24</f>
        <v>36.034691350235818</v>
      </c>
      <c r="C26" s="29">
        <f>261.890004521979-C25-C24</f>
        <v>15.724695872214795</v>
      </c>
      <c r="D26" s="29">
        <f>247.081915695504-D24-D25</f>
        <v>4.0716155481629528</v>
      </c>
      <c r="E26" s="29">
        <f>239.1-E25-E24</f>
        <v>-1.9928875506022052</v>
      </c>
      <c r="F26" s="29">
        <f>233.767810374279-F25-F24</f>
        <v>-2.1835705050418142</v>
      </c>
      <c r="G26" s="29">
        <f>232.2-G25-G24</f>
        <v>1.3888934445172936</v>
      </c>
      <c r="H26" s="29">
        <f>231.9-H25-H24</f>
        <v>-0.66967312572134574</v>
      </c>
      <c r="I26" s="29">
        <f>244.707611958994-I25-I24</f>
        <v>-0.83523189843469936</v>
      </c>
      <c r="J26" s="29">
        <f>260-J25-J24</f>
        <v>0.48939917458295668</v>
      </c>
      <c r="K26" s="29">
        <v>0</v>
      </c>
      <c r="L26" s="29">
        <v>0</v>
      </c>
      <c r="M26" s="29">
        <v>0</v>
      </c>
      <c r="N26" s="29">
        <v>0</v>
      </c>
      <c r="O26" s="29">
        <v>0</v>
      </c>
      <c r="P26" s="29">
        <v>0</v>
      </c>
      <c r="Q26" s="29"/>
      <c r="R26" s="29"/>
      <c r="S26" s="30"/>
    </row>
    <row r="27" spans="1:21" s="32" customFormat="1">
      <c r="A27" s="17" t="s">
        <v>62</v>
      </c>
      <c r="B27" s="27">
        <f t="shared" ref="B27:J27" si="17">B24+B25+B26</f>
        <v>289.8</v>
      </c>
      <c r="C27" s="27">
        <f t="shared" si="17"/>
        <v>261.89000452197899</v>
      </c>
      <c r="D27" s="27">
        <f t="shared" si="17"/>
        <v>247.08191569550399</v>
      </c>
      <c r="E27" s="27">
        <f t="shared" si="17"/>
        <v>239.1</v>
      </c>
      <c r="F27" s="27">
        <f t="shared" si="17"/>
        <v>233.76781037427901</v>
      </c>
      <c r="G27" s="27">
        <f t="shared" si="17"/>
        <v>232.2</v>
      </c>
      <c r="H27" s="27">
        <f t="shared" si="17"/>
        <v>231.9</v>
      </c>
      <c r="I27" s="27">
        <f t="shared" si="17"/>
        <v>244.70761195899399</v>
      </c>
      <c r="J27" s="27">
        <f t="shared" si="17"/>
        <v>260</v>
      </c>
      <c r="K27" s="27">
        <f t="shared" ref="K27:P27" si="18">K24+K25+K26</f>
        <v>263.44211844221206</v>
      </c>
      <c r="L27" s="27">
        <f t="shared" si="18"/>
        <v>260.96265910967327</v>
      </c>
      <c r="M27" s="27">
        <f t="shared" si="18"/>
        <v>260.78948837796599</v>
      </c>
      <c r="N27" s="27">
        <f t="shared" si="18"/>
        <v>253.45678396041808</v>
      </c>
      <c r="O27" s="27">
        <f t="shared" si="18"/>
        <v>242.86054066746118</v>
      </c>
      <c r="P27" s="27">
        <f t="shared" si="18"/>
        <v>235.5</v>
      </c>
      <c r="Q27" s="27"/>
      <c r="R27" s="27"/>
      <c r="S27" s="31"/>
    </row>
    <row r="28" spans="1:21" s="24" customFormat="1"/>
    <row r="29" spans="1:21" s="17" customFormat="1">
      <c r="A29" s="17" t="s">
        <v>58</v>
      </c>
      <c r="B29" s="27">
        <f t="shared" ref="B29:J29" si="19">B22</f>
        <v>66.8</v>
      </c>
      <c r="C29" s="27">
        <f t="shared" si="19"/>
        <v>56.196441932184499</v>
      </c>
      <c r="D29" s="27">
        <f t="shared" si="19"/>
        <v>61.017412596738801</v>
      </c>
      <c r="E29" s="27">
        <f t="shared" si="19"/>
        <v>69.75145412084089</v>
      </c>
      <c r="F29" s="27">
        <f t="shared" si="19"/>
        <v>59.2</v>
      </c>
      <c r="G29" s="27">
        <f t="shared" si="19"/>
        <v>53.041433429761319</v>
      </c>
      <c r="H29" s="27">
        <f t="shared" si="19"/>
        <v>59.1</v>
      </c>
      <c r="I29" s="27">
        <f t="shared" si="19"/>
        <v>64.609947449559499</v>
      </c>
      <c r="J29" s="27">
        <f t="shared" si="19"/>
        <v>54.059725676161868</v>
      </c>
      <c r="K29" s="27">
        <f t="shared" ref="K29:Q29" si="20">K22</f>
        <v>54.8</v>
      </c>
      <c r="L29" s="27">
        <f t="shared" si="20"/>
        <v>72.073170731707322</v>
      </c>
      <c r="M29" s="27">
        <f t="shared" si="20"/>
        <v>78.577704417547864</v>
      </c>
      <c r="N29" s="27">
        <f t="shared" si="20"/>
        <v>57.991243292956867</v>
      </c>
      <c r="O29" s="27">
        <f t="shared" si="20"/>
        <v>52.320540667461202</v>
      </c>
      <c r="P29" s="27">
        <f t="shared" si="20"/>
        <v>71.900000000000006</v>
      </c>
      <c r="Q29" s="27">
        <f t="shared" si="20"/>
        <v>71.245000000000005</v>
      </c>
      <c r="R29" s="27"/>
      <c r="S29" s="27"/>
    </row>
    <row r="30" spans="1:21" s="33" customFormat="1">
      <c r="A30" s="20" t="s">
        <v>63</v>
      </c>
      <c r="B30" s="20">
        <v>-13.509188119242813</v>
      </c>
      <c r="C30" s="20">
        <v>-27.494613989299999</v>
      </c>
      <c r="D30" s="20">
        <f>-27.8806701895136+1.66932</f>
        <v>-26.211350189513603</v>
      </c>
      <c r="E30" s="20">
        <v>-26.1</v>
      </c>
      <c r="F30" s="20">
        <v>-26.5</v>
      </c>
      <c r="G30" s="20">
        <v>-28.7</v>
      </c>
      <c r="H30" s="20"/>
      <c r="I30" s="20"/>
      <c r="J30" s="20"/>
      <c r="K30" s="20"/>
      <c r="L30" s="20"/>
      <c r="M30" s="20"/>
      <c r="N30" s="20"/>
      <c r="O30" s="20"/>
      <c r="P30" s="20"/>
      <c r="Q30" s="20"/>
      <c r="R30" s="20"/>
      <c r="S30" s="20"/>
    </row>
    <row r="31" spans="1:21" s="33" customFormat="1">
      <c r="A31" s="20" t="s">
        <v>64</v>
      </c>
      <c r="B31" s="20">
        <v>-6.4161221711113203</v>
      </c>
      <c r="C31" s="20">
        <v>-0.83435862709688002</v>
      </c>
      <c r="D31" s="20">
        <v>-1.7149727238346422</v>
      </c>
      <c r="E31" s="20">
        <v>-5.7</v>
      </c>
      <c r="F31" s="20">
        <v>-6.3</v>
      </c>
      <c r="G31" s="20">
        <v>-6.5</v>
      </c>
      <c r="H31" s="20"/>
      <c r="I31" s="20"/>
      <c r="J31" s="20"/>
      <c r="K31" s="20"/>
      <c r="L31" s="20"/>
      <c r="M31" s="20"/>
      <c r="N31" s="20"/>
      <c r="O31" s="20"/>
      <c r="P31" s="20"/>
      <c r="Q31" s="20"/>
      <c r="R31" s="20"/>
      <c r="S31" s="20"/>
    </row>
    <row r="32" spans="1:21" s="33" customFormat="1">
      <c r="A32" s="20" t="s">
        <v>65</v>
      </c>
      <c r="B32" s="20">
        <v>-14.6424503764727</v>
      </c>
      <c r="C32" s="20">
        <v>-11.3776397736849</v>
      </c>
      <c r="D32" s="20">
        <v>42.970621291806602</v>
      </c>
      <c r="E32" s="20">
        <v>15.9</v>
      </c>
      <c r="F32" s="20">
        <v>-2.7</v>
      </c>
      <c r="G32" s="20">
        <v>7.5</v>
      </c>
      <c r="H32" s="20"/>
      <c r="I32" s="20">
        <v>-13.936247227269945</v>
      </c>
      <c r="J32" s="20">
        <v>5.7799999999999994</v>
      </c>
      <c r="K32" s="20">
        <v>19.031000000000002</v>
      </c>
      <c r="L32" s="20"/>
      <c r="M32" s="20">
        <v>-40.410296504817573</v>
      </c>
      <c r="N32" s="20">
        <v>-15.909000000000001</v>
      </c>
      <c r="O32" s="20">
        <v>13.972999999999988</v>
      </c>
      <c r="P32" s="20"/>
      <c r="Q32" s="20"/>
      <c r="R32" s="20"/>
      <c r="S32" s="20"/>
    </row>
    <row r="33" spans="1:24" s="33" customFormat="1">
      <c r="A33" s="20" t="s">
        <v>66</v>
      </c>
      <c r="B33" s="20">
        <v>0</v>
      </c>
      <c r="C33" s="20">
        <v>0</v>
      </c>
      <c r="D33" s="20">
        <v>-34.495427909400298</v>
      </c>
      <c r="E33" s="20">
        <v>-19.2</v>
      </c>
      <c r="F33" s="20">
        <v>-12.7</v>
      </c>
      <c r="G33" s="20">
        <v>-10.4</v>
      </c>
      <c r="H33" s="20"/>
      <c r="I33" s="20"/>
      <c r="J33" s="20"/>
      <c r="K33" s="20"/>
      <c r="L33" s="20"/>
      <c r="M33" s="20"/>
      <c r="N33" s="20"/>
      <c r="O33" s="20"/>
      <c r="P33" s="20"/>
      <c r="Q33" s="20"/>
      <c r="R33" s="20"/>
      <c r="S33" s="20"/>
    </row>
    <row r="34" spans="1:24" s="33" customFormat="1">
      <c r="A34" s="20" t="s">
        <v>57</v>
      </c>
      <c r="B34" s="29">
        <f t="shared" ref="B34:G34" si="21">B35-B29-B30-B31-B32-B33</f>
        <v>-36.153288740798921</v>
      </c>
      <c r="C34" s="29">
        <f t="shared" si="21"/>
        <v>-15.920184800679388</v>
      </c>
      <c r="D34" s="29">
        <f t="shared" si="21"/>
        <v>-1.4914359999999576</v>
      </c>
      <c r="E34" s="29">
        <f t="shared" si="21"/>
        <v>-5.9514541208408893</v>
      </c>
      <c r="F34" s="29">
        <f t="shared" si="21"/>
        <v>-53.927966207761102</v>
      </c>
      <c r="G34" s="29">
        <f t="shared" si="21"/>
        <v>5.2697025057810816</v>
      </c>
      <c r="H34" s="29"/>
      <c r="I34" s="29"/>
      <c r="J34" s="29"/>
      <c r="K34" s="29"/>
      <c r="L34" s="29"/>
      <c r="M34" s="29"/>
      <c r="N34" s="29"/>
      <c r="O34" s="29"/>
      <c r="P34" s="29"/>
      <c r="Q34" s="29"/>
      <c r="R34" s="29"/>
      <c r="S34" s="29"/>
    </row>
    <row r="35" spans="1:24" s="27" customFormat="1">
      <c r="A35" s="27" t="s">
        <v>67</v>
      </c>
      <c r="B35" s="27">
        <v>-3.9210494076257563</v>
      </c>
      <c r="C35" s="27">
        <v>0.56964474142332899</v>
      </c>
      <c r="D35" s="27">
        <v>40.074847065796902</v>
      </c>
      <c r="E35" s="27">
        <v>28.7</v>
      </c>
      <c r="F35" s="27">
        <v>-42.927966207761102</v>
      </c>
      <c r="G35" s="27">
        <v>20.211135935542401</v>
      </c>
      <c r="H35" s="27">
        <f>54.573-I35-J35-K35</f>
        <v>4.2120654666735078</v>
      </c>
      <c r="I35" s="27">
        <v>7.0031561832281879</v>
      </c>
      <c r="J35" s="27">
        <v>17.513931674484308</v>
      </c>
      <c r="K35" s="27">
        <v>25.843846675614</v>
      </c>
      <c r="M35" s="27">
        <v>-16.579900635002762</v>
      </c>
      <c r="N35" s="27">
        <v>23.9295946729317</v>
      </c>
      <c r="O35" s="27">
        <v>30.407215127458301</v>
      </c>
      <c r="P35" s="27">
        <v>-9.5442704862836791</v>
      </c>
      <c r="Q35" s="27">
        <v>-9.8628632314284417</v>
      </c>
      <c r="W35" s="33"/>
      <c r="X35" s="33"/>
    </row>
    <row r="36" spans="1:24" s="33" customFormat="1">
      <c r="A36" s="20" t="s">
        <v>68</v>
      </c>
      <c r="B36" s="29">
        <v>-9.3619650671081622</v>
      </c>
      <c r="C36" s="29">
        <v>-6.99303493289184</v>
      </c>
      <c r="D36" s="29">
        <v>-6.2776232775969003</v>
      </c>
      <c r="E36" s="29">
        <v>-6</v>
      </c>
      <c r="F36" s="29">
        <v>-5.9060445199999991</v>
      </c>
      <c r="G36" s="29">
        <v>-8.1219999999999999</v>
      </c>
      <c r="H36" s="29">
        <f>-26.078-I36-J36-K36</f>
        <v>-7.7775768943451089</v>
      </c>
      <c r="I36" s="29">
        <v>-9.9429999999999996</v>
      </c>
      <c r="J36" s="29">
        <v>-3.9395250919883993</v>
      </c>
      <c r="K36" s="29">
        <v>-4.4178980136664903</v>
      </c>
      <c r="L36" s="29">
        <v>-4.475053832594889</v>
      </c>
      <c r="M36" s="29">
        <v>-4.1317110719348182</v>
      </c>
      <c r="N36" s="29">
        <v>-6.9833220881948801</v>
      </c>
      <c r="O36" s="29">
        <v>-3.8880611189184102</v>
      </c>
      <c r="P36" s="29">
        <v>-5.5408899999999992</v>
      </c>
      <c r="Q36" s="29">
        <v>-5.3975</v>
      </c>
      <c r="R36" s="29"/>
      <c r="S36" s="29"/>
      <c r="W36" s="27"/>
    </row>
    <row r="37" spans="1:24" s="27" customFormat="1">
      <c r="A37" s="27" t="s">
        <v>69</v>
      </c>
      <c r="B37" s="27">
        <f t="shared" ref="B37:K37" si="22">SUM(B35:B36)</f>
        <v>-13.283014474733918</v>
      </c>
      <c r="C37" s="27">
        <f t="shared" si="22"/>
        <v>-6.4233901914685108</v>
      </c>
      <c r="D37" s="27">
        <f t="shared" si="22"/>
        <v>33.7972237882</v>
      </c>
      <c r="E37" s="27">
        <f t="shared" si="22"/>
        <v>22.7</v>
      </c>
      <c r="F37" s="27">
        <f t="shared" si="22"/>
        <v>-48.834010727761104</v>
      </c>
      <c r="G37" s="27">
        <f t="shared" si="22"/>
        <v>12.089135935542402</v>
      </c>
      <c r="H37" s="27">
        <f t="shared" si="22"/>
        <v>-3.5655114276716011</v>
      </c>
      <c r="I37" s="27">
        <f t="shared" si="22"/>
        <v>-2.9398438167718117</v>
      </c>
      <c r="J37" s="27">
        <f t="shared" si="22"/>
        <v>13.574406582495909</v>
      </c>
      <c r="K37" s="27">
        <f t="shared" si="22"/>
        <v>21.425948661947508</v>
      </c>
      <c r="L37" s="54" t="s">
        <v>112</v>
      </c>
      <c r="M37" s="27">
        <f>SUM(M35:M36)</f>
        <v>-20.711611706937582</v>
      </c>
      <c r="N37" s="27">
        <f>SUM(N35:N36)</f>
        <v>16.946272584736818</v>
      </c>
      <c r="O37" s="27">
        <f>SUM(O35:O36)</f>
        <v>26.519154008539889</v>
      </c>
      <c r="P37" s="27">
        <f>SUM(P35:P36)</f>
        <v>-15.085160486283678</v>
      </c>
      <c r="Q37" s="27">
        <f>SUM(Q35:Q36)</f>
        <v>-15.260363231428443</v>
      </c>
    </row>
    <row r="38" spans="1:24">
      <c r="J38" s="33"/>
    </row>
    <row r="39" spans="1:24" s="35" customFormat="1">
      <c r="A39" s="34" t="s">
        <v>70</v>
      </c>
      <c r="B39" s="20">
        <v>0</v>
      </c>
      <c r="C39" s="20">
        <v>0</v>
      </c>
      <c r="D39" s="20">
        <v>0</v>
      </c>
      <c r="E39" s="20">
        <v>0</v>
      </c>
      <c r="F39" s="20">
        <v>0</v>
      </c>
      <c r="G39" s="20">
        <v>0</v>
      </c>
      <c r="H39" s="20">
        <v>0</v>
      </c>
      <c r="I39" s="20">
        <v>0</v>
      </c>
      <c r="J39" s="20">
        <v>0</v>
      </c>
      <c r="K39" s="20">
        <v>0</v>
      </c>
      <c r="L39" s="20">
        <v>0</v>
      </c>
      <c r="M39" s="20">
        <f>N39</f>
        <v>0</v>
      </c>
      <c r="N39" s="20">
        <v>0</v>
      </c>
      <c r="O39" s="20"/>
      <c r="P39" s="20"/>
      <c r="Q39" s="20"/>
      <c r="R39" s="20"/>
      <c r="S39" s="20"/>
      <c r="T39" s="89"/>
      <c r="U39" s="33"/>
    </row>
    <row r="40" spans="1:24" s="35" customFormat="1">
      <c r="A40" s="34" t="s">
        <v>71</v>
      </c>
      <c r="B40" s="20">
        <f>15.5+1251.3+245.3</f>
        <v>1512.1</v>
      </c>
      <c r="C40" s="20">
        <f>1254.50000023+121.875+14.25</f>
        <v>1390.6250002300001</v>
      </c>
      <c r="D40" s="20">
        <f>14.3+1257.8+122.2</f>
        <v>1394.3</v>
      </c>
      <c r="E40" s="20">
        <f>14.3+1259.3+123.8</f>
        <v>1397.3999999999999</v>
      </c>
      <c r="F40" s="20">
        <v>1401.3125</v>
      </c>
      <c r="G40" s="20">
        <f>14.3+1390.4</f>
        <v>1404.7</v>
      </c>
      <c r="H40" s="20">
        <f>14.3+1394.2</f>
        <v>1408.5</v>
      </c>
      <c r="I40" s="20">
        <v>1411.76899</v>
      </c>
      <c r="J40" s="20">
        <v>1406</v>
      </c>
      <c r="K40" s="20">
        <v>1293.7</v>
      </c>
      <c r="L40" s="20">
        <v>1296.8</v>
      </c>
      <c r="M40" s="20">
        <f>1287+13</f>
        <v>1300</v>
      </c>
      <c r="N40" s="20">
        <v>1200</v>
      </c>
      <c r="O40" s="20"/>
      <c r="P40" s="20"/>
      <c r="Q40" s="20"/>
      <c r="R40" s="20"/>
      <c r="S40" s="20"/>
      <c r="T40" s="110"/>
      <c r="U40" s="33"/>
    </row>
    <row r="41" spans="1:24" s="35" customFormat="1">
      <c r="A41" s="34" t="s">
        <v>72</v>
      </c>
      <c r="B41" s="20">
        <f t="shared" ref="B41:M41" si="23">B39+B40+315</f>
        <v>1827.1</v>
      </c>
      <c r="C41" s="20">
        <f t="shared" si="23"/>
        <v>1705.6250002300001</v>
      </c>
      <c r="D41" s="20">
        <f t="shared" si="23"/>
        <v>1709.3</v>
      </c>
      <c r="E41" s="20">
        <f t="shared" si="23"/>
        <v>1712.3999999999999</v>
      </c>
      <c r="F41" s="20">
        <f t="shared" si="23"/>
        <v>1716.3125</v>
      </c>
      <c r="G41" s="20">
        <f t="shared" si="23"/>
        <v>1719.7</v>
      </c>
      <c r="H41" s="20">
        <f t="shared" si="23"/>
        <v>1723.5</v>
      </c>
      <c r="I41" s="20">
        <f t="shared" si="23"/>
        <v>1726.76899</v>
      </c>
      <c r="J41" s="20">
        <f t="shared" si="23"/>
        <v>1721</v>
      </c>
      <c r="K41" s="20">
        <f t="shared" si="23"/>
        <v>1608.7</v>
      </c>
      <c r="L41" s="20">
        <f t="shared" si="23"/>
        <v>1611.8</v>
      </c>
      <c r="M41" s="20">
        <f t="shared" si="23"/>
        <v>1615</v>
      </c>
      <c r="N41" s="20">
        <f>N39+N40+415</f>
        <v>1615</v>
      </c>
      <c r="O41" s="20"/>
      <c r="P41" s="20"/>
      <c r="Q41" s="20"/>
      <c r="R41" s="20"/>
      <c r="S41" s="20"/>
      <c r="U41" s="33"/>
    </row>
    <row r="42" spans="1:24" s="35" customFormat="1">
      <c r="A42" s="34" t="s">
        <v>73</v>
      </c>
      <c r="B42" s="36">
        <f t="shared" ref="B42:M42" si="24">C42</f>
        <v>1480</v>
      </c>
      <c r="C42" s="36">
        <f t="shared" si="24"/>
        <v>1480</v>
      </c>
      <c r="D42" s="36">
        <f t="shared" si="24"/>
        <v>1480</v>
      </c>
      <c r="E42" s="36">
        <f t="shared" si="24"/>
        <v>1480</v>
      </c>
      <c r="F42" s="36">
        <f t="shared" si="24"/>
        <v>1480</v>
      </c>
      <c r="G42" s="36">
        <f t="shared" si="24"/>
        <v>1480</v>
      </c>
      <c r="H42" s="36">
        <f t="shared" si="24"/>
        <v>1480</v>
      </c>
      <c r="I42" s="36">
        <f t="shared" si="24"/>
        <v>1480</v>
      </c>
      <c r="J42" s="36">
        <f t="shared" si="24"/>
        <v>1480</v>
      </c>
      <c r="K42" s="36">
        <f t="shared" si="24"/>
        <v>1480</v>
      </c>
      <c r="L42" s="36">
        <f t="shared" si="24"/>
        <v>1480</v>
      </c>
      <c r="M42" s="36">
        <f t="shared" si="24"/>
        <v>1480</v>
      </c>
      <c r="N42" s="36">
        <v>1480</v>
      </c>
      <c r="O42" s="36"/>
      <c r="P42" s="36"/>
      <c r="Q42" s="36"/>
      <c r="R42" s="36"/>
      <c r="S42" s="36"/>
      <c r="U42" s="33"/>
    </row>
    <row r="43" spans="1:24">
      <c r="B43" s="132"/>
      <c r="C43" s="132"/>
      <c r="D43" s="132"/>
      <c r="E43" s="132"/>
      <c r="F43" s="132"/>
      <c r="G43" s="132"/>
      <c r="H43" s="132"/>
      <c r="I43" s="132"/>
      <c r="J43" s="132"/>
      <c r="K43" s="132"/>
      <c r="L43" s="132"/>
      <c r="M43" s="35"/>
      <c r="N43" s="35"/>
      <c r="O43" s="35"/>
      <c r="P43" s="35"/>
      <c r="U43" s="33"/>
    </row>
    <row r="44" spans="1:24">
      <c r="A44" s="19" t="s">
        <v>74</v>
      </c>
      <c r="B44" s="28">
        <v>79.2</v>
      </c>
      <c r="C44" s="28">
        <v>82.245370915811193</v>
      </c>
      <c r="D44" s="28">
        <v>109.3</v>
      </c>
      <c r="E44" s="28">
        <v>67.599999999999994</v>
      </c>
      <c r="F44" s="28">
        <v>62.577336988981315</v>
      </c>
      <c r="G44" s="28">
        <v>107.2</v>
      </c>
      <c r="H44" s="28">
        <v>65.599999999999994</v>
      </c>
      <c r="I44" s="28">
        <v>68.777161528000676</v>
      </c>
      <c r="J44" s="28">
        <v>73</v>
      </c>
      <c r="K44" s="28">
        <v>73.482143628087897</v>
      </c>
      <c r="L44" s="28">
        <v>57.9</v>
      </c>
      <c r="M44" s="28">
        <v>42.986623132665699</v>
      </c>
      <c r="N44" s="28">
        <v>25</v>
      </c>
      <c r="O44" s="28"/>
      <c r="P44" s="28"/>
      <c r="Q44" s="28"/>
      <c r="R44" s="28"/>
      <c r="S44" s="57"/>
    </row>
    <row r="46" spans="1:24">
      <c r="A46" s="14" t="s">
        <v>75</v>
      </c>
      <c r="B46" s="51">
        <v>1200</v>
      </c>
      <c r="C46" s="58">
        <f t="shared" ref="C46:I46" si="25">SUM(C12:F12)</f>
        <v>1063.7740406491114</v>
      </c>
      <c r="D46" s="58">
        <f t="shared" si="25"/>
        <v>1049.2798647645689</v>
      </c>
      <c r="E46" s="58">
        <f t="shared" si="25"/>
        <v>1055.3169271058614</v>
      </c>
      <c r="F46" s="58">
        <f t="shared" si="25"/>
        <v>1056.867345197637</v>
      </c>
      <c r="G46" s="58">
        <f t="shared" si="25"/>
        <v>1035.9499240218217</v>
      </c>
      <c r="H46" s="58">
        <f t="shared" si="25"/>
        <v>1024.7788042732814</v>
      </c>
      <c r="I46" s="58">
        <f t="shared" si="25"/>
        <v>1037.4777571528625</v>
      </c>
      <c r="J46" s="51">
        <f>SUM(J12:M12)+80</f>
        <v>1143.732531703766</v>
      </c>
      <c r="K46" s="58">
        <f t="shared" ref="K46:P46" si="26">SUM(K12:N12)</f>
        <v>1065.4629528795813</v>
      </c>
      <c r="L46" s="58">
        <f t="shared" si="26"/>
        <v>1055.6845741957891</v>
      </c>
      <c r="M46" s="58">
        <f t="shared" si="26"/>
        <v>1061.385621316208</v>
      </c>
      <c r="N46" s="58">
        <f t="shared" si="26"/>
        <v>1035.511621316208</v>
      </c>
      <c r="O46" s="58">
        <f t="shared" si="26"/>
        <v>985.71162131620792</v>
      </c>
      <c r="P46" s="58">
        <f t="shared" si="26"/>
        <v>941.30000000000007</v>
      </c>
      <c r="Q46" s="33"/>
      <c r="R46" s="33"/>
    </row>
    <row r="47" spans="1:24">
      <c r="A47" s="14" t="s">
        <v>76</v>
      </c>
      <c r="B47" s="58">
        <f t="shared" ref="B47:C47" si="27">B27</f>
        <v>289.8</v>
      </c>
      <c r="C47" s="58">
        <f t="shared" si="27"/>
        <v>261.89000452197899</v>
      </c>
      <c r="D47" s="58">
        <f t="shared" ref="D47:E47" si="28">D27</f>
        <v>247.08191569550399</v>
      </c>
      <c r="E47" s="58">
        <f t="shared" si="28"/>
        <v>239.1</v>
      </c>
      <c r="F47" s="58">
        <f t="shared" ref="F47:G47" si="29">F27</f>
        <v>233.76781037427901</v>
      </c>
      <c r="G47" s="58">
        <f t="shared" si="29"/>
        <v>232.2</v>
      </c>
      <c r="H47" s="58">
        <f t="shared" ref="H47:J47" si="30">H27</f>
        <v>231.9</v>
      </c>
      <c r="I47" s="58">
        <f t="shared" si="30"/>
        <v>244.70761195899399</v>
      </c>
      <c r="J47" s="58">
        <f t="shared" si="30"/>
        <v>260</v>
      </c>
      <c r="K47" s="58">
        <f t="shared" ref="K47:P47" si="31">K27</f>
        <v>263.44211844221206</v>
      </c>
      <c r="L47" s="58">
        <f t="shared" si="31"/>
        <v>260.96265910967327</v>
      </c>
      <c r="M47" s="58">
        <f t="shared" si="31"/>
        <v>260.78948837796599</v>
      </c>
      <c r="N47" s="58">
        <f t="shared" si="31"/>
        <v>253.45678396041808</v>
      </c>
      <c r="O47" s="58">
        <f t="shared" si="31"/>
        <v>242.86054066746118</v>
      </c>
      <c r="P47" s="58">
        <f t="shared" si="31"/>
        <v>235.5</v>
      </c>
      <c r="Q47" s="33"/>
      <c r="R47" s="33"/>
    </row>
    <row r="48" spans="1:24">
      <c r="A48" s="14" t="s">
        <v>77</v>
      </c>
      <c r="B48" s="58">
        <f t="shared" ref="B48:H48" si="32">SUM(B37:E37)</f>
        <v>36.790819121997572</v>
      </c>
      <c r="C48" s="58">
        <f t="shared" si="32"/>
        <v>1.2398228689703856</v>
      </c>
      <c r="D48" s="58">
        <f t="shared" si="32"/>
        <v>19.752348995981301</v>
      </c>
      <c r="E48" s="58">
        <f t="shared" si="32"/>
        <v>-17.610386219890305</v>
      </c>
      <c r="F48" s="58">
        <f t="shared" si="32"/>
        <v>-43.250230036662117</v>
      </c>
      <c r="G48" s="58">
        <f t="shared" si="32"/>
        <v>19.158187273594898</v>
      </c>
      <c r="H48" s="58">
        <f t="shared" si="32"/>
        <v>28.495000000000005</v>
      </c>
      <c r="I48" s="58">
        <f>J48+I37-M37</f>
        <v>83.902948970128136</v>
      </c>
      <c r="J48" s="58">
        <f>K48+J37-N37</f>
        <v>66.13118107996236</v>
      </c>
      <c r="K48" s="58">
        <f>L48+K37-O37</f>
        <v>69.503047082203267</v>
      </c>
      <c r="L48" s="58">
        <f>L47*M48/M47</f>
        <v>74.596252428795651</v>
      </c>
      <c r="M48" s="58">
        <f>N48+M37-Q37</f>
        <v>74.546751524490844</v>
      </c>
      <c r="N48" s="51">
        <v>79.99799999999999</v>
      </c>
      <c r="O48" s="33"/>
      <c r="P48" s="33"/>
      <c r="Q48" s="33"/>
      <c r="R48" s="33"/>
    </row>
    <row r="50" spans="1:19" s="37" customFormat="1">
      <c r="A50" s="37" t="s">
        <v>78</v>
      </c>
      <c r="B50" s="37">
        <f t="shared" ref="B50" si="33">+SUM(B39:B40)/B47</f>
        <v>5.2177363699102823</v>
      </c>
      <c r="C50" s="37">
        <f t="shared" ref="C50:D50" si="34">+SUM(C39:C40)/C47</f>
        <v>5.3099582886650127</v>
      </c>
      <c r="D50" s="37">
        <f t="shared" si="34"/>
        <v>5.6430677901910533</v>
      </c>
      <c r="E50" s="37">
        <f t="shared" ref="E50:F50" si="35">+SUM(E39:E40)/E47</f>
        <v>5.8444165621079041</v>
      </c>
      <c r="F50" s="37">
        <f t="shared" si="35"/>
        <v>5.9944630432923951</v>
      </c>
      <c r="G50" s="37">
        <f t="shared" ref="G50:H50" si="36">+SUM(G39:G40)/G47</f>
        <v>6.0495262704565036</v>
      </c>
      <c r="H50" s="37">
        <f t="shared" si="36"/>
        <v>6.0737386804657181</v>
      </c>
      <c r="I50" s="37">
        <f t="shared" ref="I50:N50" si="37">+SUM(I39:I40)/I47</f>
        <v>5.7692074990972175</v>
      </c>
      <c r="J50" s="37">
        <f t="shared" si="37"/>
        <v>5.407692307692308</v>
      </c>
      <c r="K50" s="37">
        <f t="shared" si="37"/>
        <v>4.9107561374389057</v>
      </c>
      <c r="L50" s="37">
        <f t="shared" si="37"/>
        <v>4.9692933250461762</v>
      </c>
      <c r="M50" s="37">
        <f t="shared" si="37"/>
        <v>4.9848634931017282</v>
      </c>
      <c r="N50" s="37">
        <f t="shared" si="37"/>
        <v>4.7345349422069605</v>
      </c>
    </row>
    <row r="51" spans="1:19" s="37" customFormat="1">
      <c r="A51" s="37" t="s">
        <v>79</v>
      </c>
      <c r="B51" s="37">
        <f t="shared" ref="B51" si="38">+B41/B47</f>
        <v>6.3046928916494132</v>
      </c>
      <c r="C51" s="37">
        <f t="shared" ref="C51:D51" si="39">+C41/C47</f>
        <v>6.5127533345277264</v>
      </c>
      <c r="D51" s="37">
        <f t="shared" si="39"/>
        <v>6.9179486292573822</v>
      </c>
      <c r="E51" s="37">
        <f t="shared" ref="E51:F51" si="40">+E41/E47</f>
        <v>7.1618569636135501</v>
      </c>
      <c r="F51" s="37">
        <f t="shared" si="40"/>
        <v>7.3419539553031736</v>
      </c>
      <c r="G51" s="37">
        <f t="shared" ref="G51:H51" si="41">+G41/G47</f>
        <v>7.406115417743325</v>
      </c>
      <c r="H51" s="37">
        <f t="shared" si="41"/>
        <v>7.4320827943078909</v>
      </c>
      <c r="I51" s="37">
        <f t="shared" ref="I51:N51" si="42">+I41/I47</f>
        <v>7.0564580160643189</v>
      </c>
      <c r="J51" s="37">
        <f t="shared" si="42"/>
        <v>6.6192307692307688</v>
      </c>
      <c r="K51" s="37">
        <f t="shared" si="42"/>
        <v>6.1064647122964892</v>
      </c>
      <c r="L51" s="37">
        <f t="shared" si="42"/>
        <v>6.1763625704113405</v>
      </c>
      <c r="M51" s="37">
        <f t="shared" si="42"/>
        <v>6.1927342625840698</v>
      </c>
      <c r="N51" s="37">
        <f t="shared" si="42"/>
        <v>6.3718949430535341</v>
      </c>
    </row>
    <row r="52" spans="1:19" s="37" customFormat="1">
      <c r="A52" s="37" t="s">
        <v>80</v>
      </c>
      <c r="B52" s="37">
        <f t="shared" ref="B52" si="43">+(B41-B44)/B47</f>
        <v>6.0314009661835746</v>
      </c>
      <c r="C52" s="37">
        <f t="shared" ref="C52:D52" si="44">+(C41-C44)/C47</f>
        <v>6.1987078593446183</v>
      </c>
      <c r="D52" s="37">
        <f t="shared" si="44"/>
        <v>6.4755852143051609</v>
      </c>
      <c r="E52" s="37">
        <f t="shared" ref="E52:F52" si="45">+(E41-E44)/E47</f>
        <v>6.8791300710999579</v>
      </c>
      <c r="F52" s="37">
        <f t="shared" si="45"/>
        <v>7.0742638191428933</v>
      </c>
      <c r="G52" s="37">
        <f t="shared" ref="G52:H52" si="46">+(G41-G44)/G47</f>
        <v>6.9444444444444446</v>
      </c>
      <c r="H52" s="37">
        <f t="shared" si="46"/>
        <v>7.1492022423458392</v>
      </c>
      <c r="I52" s="37">
        <f t="shared" ref="I52:N52" si="47">+(I41-I44)/I47</f>
        <v>6.7753994867549574</v>
      </c>
      <c r="J52" s="37">
        <f t="shared" si="47"/>
        <v>6.3384615384615381</v>
      </c>
      <c r="K52" s="37">
        <f t="shared" si="47"/>
        <v>5.8275338258361042</v>
      </c>
      <c r="L52" s="37">
        <f t="shared" si="47"/>
        <v>5.9544917472156476</v>
      </c>
      <c r="M52" s="37">
        <f t="shared" si="47"/>
        <v>6.0279016100104172</v>
      </c>
      <c r="N52" s="37">
        <f t="shared" si="47"/>
        <v>6.2732587984242221</v>
      </c>
    </row>
    <row r="53" spans="1:19" s="38" customFormat="1">
      <c r="A53" s="38" t="s">
        <v>81</v>
      </c>
      <c r="B53" s="38">
        <f t="shared" ref="B53" si="48">+B48/B41</f>
        <v>2.0136182541731471E-2</v>
      </c>
      <c r="C53" s="38">
        <f t="shared" ref="C53:D53" si="49">+C48/C41</f>
        <v>7.2690237819168812E-4</v>
      </c>
      <c r="D53" s="38">
        <f t="shared" si="49"/>
        <v>1.1555811733447201E-2</v>
      </c>
      <c r="E53" s="38">
        <f t="shared" ref="E53:F53" si="50">+E48/E41</f>
        <v>-1.0284037736446103E-2</v>
      </c>
      <c r="F53" s="38">
        <f t="shared" si="50"/>
        <v>-2.5199507686777388E-2</v>
      </c>
      <c r="G53" s="38">
        <f t="shared" ref="G53:H53" si="51">+G48/G41</f>
        <v>1.1140424070241843E-2</v>
      </c>
      <c r="H53" s="38">
        <f t="shared" si="51"/>
        <v>1.6533217290397449E-2</v>
      </c>
      <c r="I53" s="38">
        <f t="shared" ref="I53:N53" si="52">+I48/I41</f>
        <v>4.8589562041027927E-2</v>
      </c>
      <c r="J53" s="38">
        <f t="shared" si="52"/>
        <v>3.8426020383476096E-2</v>
      </c>
      <c r="K53" s="38">
        <f t="shared" si="52"/>
        <v>4.3204480066018069E-2</v>
      </c>
      <c r="L53" s="38">
        <f t="shared" si="52"/>
        <v>4.628133293758261E-2</v>
      </c>
      <c r="M53" s="38">
        <f t="shared" si="52"/>
        <v>4.6158979272130557E-2</v>
      </c>
      <c r="N53" s="38">
        <f t="shared" si="52"/>
        <v>4.9534365325077392E-2</v>
      </c>
    </row>
    <row r="54" spans="1:19" s="38" customFormat="1">
      <c r="A54" s="39" t="s">
        <v>82</v>
      </c>
      <c r="B54" s="40"/>
      <c r="C54" s="40"/>
      <c r="D54" s="40"/>
      <c r="E54" s="40"/>
      <c r="F54" s="40"/>
      <c r="G54" s="40"/>
      <c r="H54" s="40"/>
      <c r="I54" s="40"/>
      <c r="J54" s="40"/>
      <c r="K54" s="40"/>
      <c r="L54" s="40"/>
      <c r="M54" s="40"/>
      <c r="N54" s="40"/>
      <c r="O54" s="40"/>
      <c r="P54" s="40"/>
      <c r="Q54" s="40"/>
      <c r="R54" s="40"/>
      <c r="S54" s="39"/>
    </row>
    <row r="55" spans="1:19" s="38" customFormat="1">
      <c r="A55" s="38" t="s">
        <v>83</v>
      </c>
      <c r="B55" s="41">
        <f t="shared" ref="B55" si="53">IF(B42=0,IF(B54="","","*"&amp;TEXT(B54,"0.0x")),(B41+B42-B44)/B47)</f>
        <v>11.138371290545203</v>
      </c>
      <c r="C55" s="41">
        <f t="shared" ref="C55:D55" si="54">IF(C42=0,IF(C54="","","*"&amp;TEXT(C54,"0.0x")),(C41+C42-C44)/C47)</f>
        <v>11.849935376413876</v>
      </c>
      <c r="D55" s="41">
        <f t="shared" si="54"/>
        <v>12.465501537537435</v>
      </c>
      <c r="E55" s="41">
        <f t="shared" ref="E55:F55" si="55">IF(E42=0,IF(E54="","","*"&amp;TEXT(E54,"0.0x")),(E41+E42-E44)/E47)</f>
        <v>13.06900878293601</v>
      </c>
      <c r="F55" s="41">
        <f t="shared" si="55"/>
        <v>13.405332231130044</v>
      </c>
      <c r="G55" s="41">
        <f t="shared" ref="G55:H55" si="56">IF(G42=0,IF(G54="","","*"&amp;TEXT(G54,"0.0x")),(G41+G42-G44)/G47)</f>
        <v>13.318260120585702</v>
      </c>
      <c r="H55" s="41">
        <f t="shared" si="56"/>
        <v>13.531263475636051</v>
      </c>
      <c r="I55" s="41">
        <f t="shared" ref="I55:J55" si="57">IF(I42=0,IF(I54="","","*"&amp;TEXT(I54,"0.0x")),(I41+I42-I44)/I47)</f>
        <v>12.823433661711499</v>
      </c>
      <c r="J55" s="41">
        <f t="shared" si="57"/>
        <v>12.030769230769231</v>
      </c>
      <c r="K55" s="41">
        <f t="shared" ref="K55:L55" si="58">IF(K42=0,IF(K54="","","*"&amp;TEXT(K54,"0.0x")),(K41+K42-K44)/K47)</f>
        <v>11.445466177547921</v>
      </c>
      <c r="L55" s="41">
        <f t="shared" si="58"/>
        <v>11.625801217502771</v>
      </c>
      <c r="M55" s="41">
        <f t="shared" ref="M55:R55" si="59">IF(M42=0,IF(M54="","","*"&amp;TEXT(M54,"0.0x")),(M41+M42-M44)/M47)</f>
        <v>11.70297697138777</v>
      </c>
      <c r="N55" s="41">
        <f t="shared" si="59"/>
        <v>12.112518560479472</v>
      </c>
      <c r="O55" s="41" t="str">
        <f t="shared" si="59"/>
        <v/>
      </c>
      <c r="P55" s="41" t="str">
        <f t="shared" si="59"/>
        <v/>
      </c>
      <c r="Q55" s="41" t="str">
        <f t="shared" si="59"/>
        <v/>
      </c>
      <c r="R55" s="41" t="str">
        <f t="shared" si="59"/>
        <v/>
      </c>
      <c r="S55" s="41" t="str">
        <f>IF(S42=0,IF(S54="","",CONCATENATE("* ",S54,"x")),(S41+S42-S44)/S47)</f>
        <v/>
      </c>
    </row>
    <row r="56" spans="1:19">
      <c r="R56" s="42"/>
    </row>
    <row r="57" spans="1:19" ht="80.25" customHeight="1">
      <c r="A57" s="43" t="s">
        <v>84</v>
      </c>
      <c r="B57" s="44" t="s">
        <v>289</v>
      </c>
      <c r="C57" s="44" t="s">
        <v>289</v>
      </c>
      <c r="D57" s="44" t="s">
        <v>289</v>
      </c>
      <c r="E57" s="44" t="s">
        <v>289</v>
      </c>
      <c r="F57" s="44" t="s">
        <v>289</v>
      </c>
      <c r="G57" s="44" t="s">
        <v>289</v>
      </c>
      <c r="H57" s="44" t="s">
        <v>289</v>
      </c>
      <c r="I57" s="44" t="s">
        <v>289</v>
      </c>
      <c r="J57" s="44" t="s">
        <v>492</v>
      </c>
      <c r="K57" s="44" t="s">
        <v>289</v>
      </c>
      <c r="L57" s="44" t="s">
        <v>424</v>
      </c>
      <c r="M57" s="44" t="s">
        <v>312</v>
      </c>
      <c r="N57" s="44" t="s">
        <v>90</v>
      </c>
      <c r="O57" s="44"/>
      <c r="P57" s="44"/>
      <c r="Q57" s="44"/>
      <c r="R57" s="44"/>
      <c r="S57" s="44"/>
    </row>
    <row r="58" spans="1:19">
      <c r="A58" s="45"/>
      <c r="B58" s="42"/>
      <c r="C58" s="42"/>
      <c r="D58" s="42"/>
      <c r="E58" s="42"/>
      <c r="F58" s="42"/>
      <c r="G58" s="42"/>
      <c r="H58" s="42"/>
      <c r="I58" s="42"/>
      <c r="J58" s="42"/>
      <c r="K58" s="42"/>
      <c r="L58" s="42"/>
      <c r="M58" s="42"/>
      <c r="N58" s="42"/>
    </row>
    <row r="59" spans="1:19">
      <c r="A59" s="45"/>
    </row>
  </sheetData>
  <pageMargins left="0.7" right="0.7" top="0.75" bottom="0.75" header="0.3" footer="0.3"/>
  <pageSetup orientation="portrait" r:id="rId1"/>
  <ignoredErrors>
    <ignoredError sqref="J46:Q50 F46:I47 D46:E46 I48" formulaRange="1"/>
  </ignoredErrors>
  <legacyDrawing r:id="rId2"/>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2:Q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7" width="10.6640625" style="14" customWidth="1"/>
    <col min="18" max="16384" width="9.109375" style="14"/>
  </cols>
  <sheetData>
    <row r="2" spans="1:17">
      <c r="A2" s="13" t="s">
        <v>44</v>
      </c>
      <c r="B2" s="14" t="s">
        <v>265</v>
      </c>
    </row>
    <row r="3" spans="1:17" s="16" customFormat="1">
      <c r="A3" s="15" t="s">
        <v>45</v>
      </c>
      <c r="B3" s="16" t="s">
        <v>267</v>
      </c>
    </row>
    <row r="4" spans="1:17">
      <c r="A4" s="13" t="s">
        <v>2</v>
      </c>
      <c r="B4" s="14" t="s">
        <v>493</v>
      </c>
    </row>
    <row r="5" spans="1:17">
      <c r="A5" s="13" t="s">
        <v>46</v>
      </c>
    </row>
    <row r="6" spans="1:17">
      <c r="A6" s="13" t="s">
        <v>47</v>
      </c>
    </row>
    <row r="7" spans="1:17">
      <c r="A7" s="13" t="s">
        <v>48</v>
      </c>
      <c r="B7" s="14" t="s">
        <v>453</v>
      </c>
    </row>
    <row r="8" spans="1:17">
      <c r="A8" s="13" t="s">
        <v>347</v>
      </c>
      <c r="B8" s="14" t="s">
        <v>364</v>
      </c>
    </row>
    <row r="9" spans="1:17">
      <c r="A9" s="17"/>
    </row>
    <row r="10" spans="1:17">
      <c r="A10" s="17" t="s">
        <v>49</v>
      </c>
      <c r="B10" s="18">
        <v>44286</v>
      </c>
      <c r="C10" s="18">
        <v>44196</v>
      </c>
      <c r="D10" s="18">
        <v>44104</v>
      </c>
      <c r="E10" s="18">
        <v>44012</v>
      </c>
      <c r="F10" s="18">
        <v>43921</v>
      </c>
      <c r="G10" s="18">
        <v>43830</v>
      </c>
      <c r="H10" s="18">
        <v>43738</v>
      </c>
      <c r="I10" s="18">
        <v>43646</v>
      </c>
      <c r="J10" s="18">
        <v>43555</v>
      </c>
      <c r="K10" s="18">
        <v>43465</v>
      </c>
      <c r="L10" s="18">
        <v>43373</v>
      </c>
      <c r="M10" s="18">
        <v>43281</v>
      </c>
      <c r="N10" s="18">
        <v>43190</v>
      </c>
      <c r="O10" s="18">
        <f>EOMONTH(N10,-3)</f>
        <v>43100</v>
      </c>
      <c r="P10" s="18">
        <f t="shared" ref="P10:Q10" si="0">EOMONTH(O10,-3)</f>
        <v>43008</v>
      </c>
      <c r="Q10" s="18">
        <f t="shared" si="0"/>
        <v>42916</v>
      </c>
    </row>
    <row r="12" spans="1:17">
      <c r="A12" s="19" t="s">
        <v>50</v>
      </c>
      <c r="B12" s="36">
        <v>852</v>
      </c>
      <c r="C12" s="36">
        <v>781</v>
      </c>
      <c r="D12" s="36">
        <v>791</v>
      </c>
      <c r="E12" s="36">
        <v>833</v>
      </c>
      <c r="F12" s="36">
        <v>869</v>
      </c>
      <c r="G12" s="36">
        <v>726</v>
      </c>
      <c r="H12" s="20">
        <v>850</v>
      </c>
      <c r="I12" s="20">
        <v>809</v>
      </c>
      <c r="J12" s="20">
        <v>977.56100000000004</v>
      </c>
      <c r="K12" s="20">
        <v>950.50400000000002</v>
      </c>
      <c r="L12" s="20">
        <v>979</v>
      </c>
      <c r="M12" s="20">
        <v>817</v>
      </c>
      <c r="N12" s="20">
        <v>1051</v>
      </c>
      <c r="O12" s="20">
        <v>814</v>
      </c>
      <c r="P12" s="20">
        <v>924</v>
      </c>
      <c r="Q12" s="20">
        <v>732</v>
      </c>
    </row>
    <row r="13" spans="1:17" s="21" customFormat="1">
      <c r="A13" s="21" t="s">
        <v>51</v>
      </c>
      <c r="B13" s="21">
        <f t="shared" ref="B13:M13" si="1">+B12/F12-1</f>
        <v>-1.9562715765247374E-2</v>
      </c>
      <c r="C13" s="21">
        <f t="shared" si="1"/>
        <v>7.575757575757569E-2</v>
      </c>
      <c r="D13" s="21">
        <f t="shared" si="1"/>
        <v>-6.9411764705882395E-2</v>
      </c>
      <c r="E13" s="21">
        <f t="shared" si="1"/>
        <v>2.9666254635352329E-2</v>
      </c>
      <c r="F13" s="21">
        <f t="shared" si="1"/>
        <v>-0.11105291639089532</v>
      </c>
      <c r="G13" s="21">
        <f t="shared" si="1"/>
        <v>-0.23619469249997893</v>
      </c>
      <c r="H13" s="21">
        <f t="shared" si="1"/>
        <v>-0.13176710929519919</v>
      </c>
      <c r="I13" s="21">
        <f t="shared" si="1"/>
        <v>-9.7919216646267238E-3</v>
      </c>
      <c r="J13" s="21">
        <f t="shared" si="1"/>
        <v>-6.9875356803044686E-2</v>
      </c>
      <c r="K13" s="21">
        <f t="shared" si="1"/>
        <v>0.1676953316953318</v>
      </c>
      <c r="L13" s="21">
        <f t="shared" si="1"/>
        <v>5.9523809523809534E-2</v>
      </c>
      <c r="M13" s="21">
        <f t="shared" si="1"/>
        <v>0.11612021857923494</v>
      </c>
    </row>
    <row r="14" spans="1:17"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c r="O14" s="23"/>
      <c r="P14" s="23"/>
      <c r="Q14" s="23"/>
    </row>
    <row r="16" spans="1:17" s="17" customFormat="1">
      <c r="A16" s="25" t="s">
        <v>53</v>
      </c>
      <c r="B16" s="26">
        <v>173</v>
      </c>
      <c r="C16" s="26">
        <v>170</v>
      </c>
      <c r="D16" s="26">
        <v>141</v>
      </c>
      <c r="E16" s="26">
        <v>151</v>
      </c>
      <c r="F16" s="26">
        <v>189</v>
      </c>
      <c r="G16" s="26">
        <v>114</v>
      </c>
      <c r="H16" s="26">
        <v>196</v>
      </c>
      <c r="I16" s="26">
        <v>85</v>
      </c>
      <c r="J16" s="26">
        <v>200.65199999999999</v>
      </c>
      <c r="K16" s="26">
        <v>156.898</v>
      </c>
      <c r="L16" s="26">
        <v>140</v>
      </c>
      <c r="M16" s="26">
        <v>101</v>
      </c>
      <c r="N16" s="26">
        <v>161</v>
      </c>
      <c r="O16" s="26">
        <v>103</v>
      </c>
      <c r="P16" s="26">
        <v>88</v>
      </c>
      <c r="Q16" s="26">
        <v>95</v>
      </c>
    </row>
    <row r="17" spans="1:17" s="21" customFormat="1">
      <c r="A17" s="21" t="s">
        <v>54</v>
      </c>
      <c r="B17" s="21">
        <f t="shared" ref="B17:D17" si="2">B16/B12</f>
        <v>0.20305164319248825</v>
      </c>
      <c r="C17" s="21">
        <f t="shared" ref="C17" si="3">C16/C12</f>
        <v>0.2176696542893726</v>
      </c>
      <c r="D17" s="21">
        <f t="shared" si="2"/>
        <v>0.17825537294563842</v>
      </c>
      <c r="E17" s="21">
        <f t="shared" ref="E17:F17" si="4">E16/E12</f>
        <v>0.18127250900360145</v>
      </c>
      <c r="F17" s="21">
        <f t="shared" si="4"/>
        <v>0.21749136939010358</v>
      </c>
      <c r="G17" s="21">
        <f t="shared" ref="G17" si="5">G16/G12</f>
        <v>0.15702479338842976</v>
      </c>
      <c r="H17" s="21">
        <f t="shared" ref="H17:I17" si="6">H16/H12</f>
        <v>0.23058823529411765</v>
      </c>
      <c r="I17" s="21">
        <f t="shared" si="6"/>
        <v>0.10506798516687268</v>
      </c>
      <c r="J17" s="21">
        <f t="shared" ref="J17:Q17" si="7">J16/J12</f>
        <v>0.20525777930993563</v>
      </c>
      <c r="K17" s="21">
        <f t="shared" si="7"/>
        <v>0.16506821644096184</v>
      </c>
      <c r="L17" s="21">
        <f t="shared" si="7"/>
        <v>0.14300306435137897</v>
      </c>
      <c r="M17" s="21">
        <f t="shared" si="7"/>
        <v>0.12362301101591187</v>
      </c>
      <c r="N17" s="21">
        <f t="shared" si="7"/>
        <v>0.15318744053282587</v>
      </c>
      <c r="O17" s="21">
        <f t="shared" si="7"/>
        <v>0.12653562653562653</v>
      </c>
      <c r="P17" s="21">
        <f t="shared" si="7"/>
        <v>9.5238095238095233E-2</v>
      </c>
      <c r="Q17" s="21">
        <f t="shared" si="7"/>
        <v>0.12978142076502733</v>
      </c>
    </row>
    <row r="18" spans="1:17" s="24" customFormat="1"/>
    <row r="19" spans="1:17"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row>
    <row r="20" spans="1:17"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row>
    <row r="21" spans="1:17"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row>
    <row r="22" spans="1:17" s="17" customFormat="1">
      <c r="A22" s="17" t="s">
        <v>58</v>
      </c>
      <c r="B22" s="27">
        <f t="shared" ref="B22:D22" si="8">B16+B19+B20+B21</f>
        <v>173</v>
      </c>
      <c r="C22" s="27">
        <f t="shared" ref="C22" si="9">C16+C19+C20+C21</f>
        <v>170</v>
      </c>
      <c r="D22" s="27">
        <f t="shared" si="8"/>
        <v>141</v>
      </c>
      <c r="E22" s="27">
        <f t="shared" ref="E22:F22" si="10">E16+E19+E20+E21</f>
        <v>151</v>
      </c>
      <c r="F22" s="27">
        <f t="shared" si="10"/>
        <v>189</v>
      </c>
      <c r="G22" s="27">
        <f t="shared" ref="G22" si="11">G16+G19+G20+G21</f>
        <v>114</v>
      </c>
      <c r="H22" s="27">
        <f t="shared" ref="H22:I22" si="12">H16+H19+H20+H21</f>
        <v>196</v>
      </c>
      <c r="I22" s="27">
        <f t="shared" si="12"/>
        <v>85</v>
      </c>
      <c r="J22" s="27">
        <f t="shared" ref="J22:K22" si="13">J16+J19+J20+J21</f>
        <v>200.65199999999999</v>
      </c>
      <c r="K22" s="27">
        <f t="shared" si="13"/>
        <v>156.898</v>
      </c>
      <c r="L22" s="27">
        <f t="shared" ref="L22:Q22" si="14">L16+L19+L20+L21</f>
        <v>140</v>
      </c>
      <c r="M22" s="27">
        <f t="shared" si="14"/>
        <v>101</v>
      </c>
      <c r="N22" s="27">
        <f t="shared" si="14"/>
        <v>161</v>
      </c>
      <c r="O22" s="27">
        <f t="shared" si="14"/>
        <v>103</v>
      </c>
      <c r="P22" s="27">
        <f t="shared" si="14"/>
        <v>88</v>
      </c>
      <c r="Q22" s="27">
        <f t="shared" si="14"/>
        <v>95</v>
      </c>
    </row>
    <row r="23" spans="1:17" s="17" customFormat="1">
      <c r="B23" s="21"/>
      <c r="C23" s="21"/>
      <c r="D23" s="21"/>
      <c r="E23" s="21"/>
      <c r="F23" s="21"/>
      <c r="G23" s="21"/>
      <c r="H23" s="21"/>
      <c r="I23" s="21"/>
      <c r="J23" s="21"/>
      <c r="K23" s="21"/>
      <c r="L23" s="21"/>
      <c r="M23" s="27"/>
      <c r="N23" s="27"/>
      <c r="O23" s="27"/>
      <c r="P23" s="27"/>
      <c r="Q23" s="27"/>
    </row>
    <row r="24" spans="1:17" s="17" customFormat="1">
      <c r="A24" s="17" t="s">
        <v>59</v>
      </c>
      <c r="B24" s="65">
        <f t="shared" ref="B24:N24" si="15">SUM(B22:E22)</f>
        <v>635</v>
      </c>
      <c r="C24" s="65">
        <f t="shared" si="15"/>
        <v>651</v>
      </c>
      <c r="D24" s="65">
        <f t="shared" si="15"/>
        <v>595</v>
      </c>
      <c r="E24" s="65">
        <f t="shared" si="15"/>
        <v>650</v>
      </c>
      <c r="F24" s="65">
        <f t="shared" si="15"/>
        <v>584</v>
      </c>
      <c r="G24" s="65">
        <f t="shared" si="15"/>
        <v>595.65200000000004</v>
      </c>
      <c r="H24" s="65">
        <f t="shared" si="15"/>
        <v>638.54999999999995</v>
      </c>
      <c r="I24" s="65">
        <f t="shared" si="15"/>
        <v>582.54999999999995</v>
      </c>
      <c r="J24" s="65">
        <f t="shared" si="15"/>
        <v>598.54999999999995</v>
      </c>
      <c r="K24" s="65">
        <f t="shared" si="15"/>
        <v>558.89800000000002</v>
      </c>
      <c r="L24" s="65">
        <f t="shared" si="15"/>
        <v>505</v>
      </c>
      <c r="M24" s="65">
        <f t="shared" si="15"/>
        <v>453</v>
      </c>
      <c r="N24" s="65">
        <f t="shared" si="15"/>
        <v>447</v>
      </c>
      <c r="O24" s="27"/>
      <c r="P24" s="27"/>
      <c r="Q24" s="27"/>
    </row>
    <row r="25" spans="1:17" s="24" customFormat="1">
      <c r="A25" s="19" t="s">
        <v>60</v>
      </c>
      <c r="B25" s="28">
        <f>678-B24</f>
        <v>43</v>
      </c>
      <c r="C25" s="28">
        <f>676-C24</f>
        <v>25</v>
      </c>
      <c r="D25" s="28">
        <f>620-D24</f>
        <v>25</v>
      </c>
      <c r="E25" s="28">
        <f>692-E24</f>
        <v>42</v>
      </c>
      <c r="F25" s="28">
        <f>661-F24</f>
        <v>77</v>
      </c>
      <c r="G25" s="28">
        <f>651-G24</f>
        <v>55.347999999999956</v>
      </c>
      <c r="H25" s="28">
        <f>690-H24</f>
        <v>51.450000000000045</v>
      </c>
      <c r="I25" s="28">
        <f>626.258-I24</f>
        <v>43.708000000000084</v>
      </c>
      <c r="J25" s="28">
        <f>632-J24</f>
        <v>33.450000000000045</v>
      </c>
      <c r="K25" s="28">
        <f>595-K24</f>
        <v>36.101999999999975</v>
      </c>
      <c r="L25" s="28">
        <f>243-202</f>
        <v>41</v>
      </c>
      <c r="M25" s="28">
        <f>545-M24</f>
        <v>92</v>
      </c>
      <c r="N25" s="28">
        <f>544-N24</f>
        <v>97</v>
      </c>
      <c r="O25" s="28"/>
      <c r="P25" s="28"/>
      <c r="Q25" s="28"/>
    </row>
    <row r="26" spans="1:17" s="24" customFormat="1">
      <c r="A26" s="19" t="s">
        <v>61</v>
      </c>
      <c r="B26" s="29">
        <v>0</v>
      </c>
      <c r="C26" s="29">
        <v>0</v>
      </c>
      <c r="D26" s="29">
        <v>0</v>
      </c>
      <c r="E26" s="29">
        <v>0</v>
      </c>
      <c r="F26" s="29">
        <v>0</v>
      </c>
      <c r="G26" s="29">
        <v>0</v>
      </c>
      <c r="H26" s="29">
        <v>0</v>
      </c>
      <c r="I26" s="29">
        <v>0</v>
      </c>
      <c r="J26" s="29">
        <v>0</v>
      </c>
      <c r="K26" s="29">
        <v>0</v>
      </c>
      <c r="L26" s="29">
        <v>0</v>
      </c>
      <c r="M26" s="29">
        <v>0</v>
      </c>
      <c r="N26" s="29">
        <v>0</v>
      </c>
      <c r="O26" s="29"/>
      <c r="P26" s="29"/>
      <c r="Q26" s="29"/>
    </row>
    <row r="27" spans="1:17" s="32" customFormat="1">
      <c r="A27" s="17" t="s">
        <v>62</v>
      </c>
      <c r="B27" s="27">
        <f t="shared" ref="B27" si="16">B24+B25+B26</f>
        <v>678</v>
      </c>
      <c r="C27" s="27">
        <f t="shared" ref="C27" si="17">C24+C25+C26</f>
        <v>676</v>
      </c>
      <c r="D27" s="27">
        <f t="shared" ref="D27" si="18">D24+D25+D26</f>
        <v>620</v>
      </c>
      <c r="E27" s="27">
        <f t="shared" ref="E27:F27" si="19">E24+E25+E26</f>
        <v>692</v>
      </c>
      <c r="F27" s="27">
        <f t="shared" si="19"/>
        <v>661</v>
      </c>
      <c r="G27" s="27">
        <f t="shared" ref="G27:H27" si="20">G24+G25+G26</f>
        <v>651</v>
      </c>
      <c r="H27" s="27">
        <f t="shared" si="20"/>
        <v>690</v>
      </c>
      <c r="I27" s="27">
        <f t="shared" ref="I27:N27" si="21">I24+I25+I26</f>
        <v>626.25800000000004</v>
      </c>
      <c r="J27" s="27">
        <f t="shared" si="21"/>
        <v>632</v>
      </c>
      <c r="K27" s="27">
        <f t="shared" si="21"/>
        <v>595</v>
      </c>
      <c r="L27" s="27">
        <f t="shared" si="21"/>
        <v>546</v>
      </c>
      <c r="M27" s="27">
        <f t="shared" si="21"/>
        <v>545</v>
      </c>
      <c r="N27" s="27">
        <f t="shared" si="21"/>
        <v>544</v>
      </c>
      <c r="O27" s="27"/>
      <c r="P27" s="27"/>
      <c r="Q27" s="27"/>
    </row>
    <row r="28" spans="1:17" s="24" customFormat="1"/>
    <row r="29" spans="1:17" s="17" customFormat="1">
      <c r="A29" s="17" t="s">
        <v>58</v>
      </c>
      <c r="B29" s="27"/>
      <c r="C29" s="27"/>
      <c r="D29" s="27"/>
      <c r="E29" s="27"/>
      <c r="F29" s="27"/>
      <c r="G29" s="27"/>
      <c r="H29" s="27"/>
      <c r="I29" s="27"/>
      <c r="J29" s="27"/>
      <c r="K29" s="27"/>
      <c r="L29" s="27"/>
      <c r="M29" s="27"/>
      <c r="N29" s="27"/>
      <c r="O29" s="27"/>
      <c r="P29" s="27"/>
      <c r="Q29" s="27"/>
    </row>
    <row r="30" spans="1:17" s="33" customFormat="1">
      <c r="A30" s="20" t="s">
        <v>63</v>
      </c>
      <c r="B30" s="20"/>
      <c r="C30" s="20"/>
      <c r="D30" s="20"/>
      <c r="E30" s="20"/>
      <c r="F30" s="20"/>
      <c r="G30" s="20"/>
      <c r="H30" s="20"/>
      <c r="I30" s="20"/>
      <c r="J30" s="20"/>
      <c r="K30" s="20"/>
      <c r="L30" s="20"/>
      <c r="M30" s="20"/>
      <c r="N30" s="20"/>
      <c r="O30" s="20"/>
      <c r="P30" s="20"/>
      <c r="Q30" s="20"/>
    </row>
    <row r="31" spans="1:17" s="33" customFormat="1">
      <c r="A31" s="20" t="s">
        <v>64</v>
      </c>
      <c r="B31" s="20"/>
      <c r="C31" s="20"/>
      <c r="D31" s="20"/>
      <c r="E31" s="20"/>
      <c r="F31" s="20"/>
      <c r="G31" s="20"/>
      <c r="H31" s="20"/>
      <c r="I31" s="20"/>
      <c r="J31" s="20"/>
      <c r="K31" s="20"/>
      <c r="L31" s="20"/>
      <c r="M31" s="20"/>
      <c r="N31" s="20"/>
      <c r="O31" s="20"/>
      <c r="P31" s="20"/>
      <c r="Q31" s="20"/>
    </row>
    <row r="32" spans="1:17" s="33" customFormat="1">
      <c r="A32" s="20" t="s">
        <v>65</v>
      </c>
      <c r="B32" s="20"/>
      <c r="C32" s="20"/>
      <c r="D32" s="20"/>
      <c r="E32" s="20"/>
      <c r="F32" s="20"/>
      <c r="G32" s="20"/>
      <c r="H32" s="20"/>
      <c r="I32" s="20"/>
      <c r="J32" s="20"/>
      <c r="K32" s="20"/>
      <c r="L32" s="20"/>
      <c r="M32" s="20"/>
      <c r="N32" s="20"/>
      <c r="O32" s="20"/>
      <c r="P32" s="20"/>
      <c r="Q32" s="20"/>
    </row>
    <row r="33" spans="1:17" s="33" customFormat="1">
      <c r="A33" s="20" t="s">
        <v>66</v>
      </c>
      <c r="B33" s="20"/>
      <c r="C33" s="20"/>
      <c r="D33" s="20"/>
      <c r="E33" s="20"/>
      <c r="F33" s="20"/>
      <c r="G33" s="20"/>
      <c r="H33" s="20"/>
      <c r="I33" s="20"/>
      <c r="J33" s="20"/>
      <c r="K33" s="20"/>
      <c r="L33" s="20"/>
      <c r="M33" s="20"/>
      <c r="N33" s="20"/>
      <c r="O33" s="20"/>
      <c r="P33" s="20"/>
      <c r="Q33" s="20"/>
    </row>
    <row r="34" spans="1:17" s="33" customFormat="1">
      <c r="A34" s="20" t="s">
        <v>57</v>
      </c>
      <c r="B34" s="29"/>
      <c r="C34" s="29"/>
      <c r="D34" s="29"/>
      <c r="E34" s="29"/>
      <c r="F34" s="29"/>
      <c r="G34" s="29"/>
      <c r="H34" s="29"/>
      <c r="I34" s="29"/>
      <c r="J34" s="29"/>
      <c r="K34" s="29"/>
      <c r="L34" s="29"/>
      <c r="M34" s="29"/>
      <c r="N34" s="29"/>
      <c r="O34" s="29"/>
      <c r="P34" s="29"/>
      <c r="Q34" s="29"/>
    </row>
    <row r="35" spans="1:17" s="27" customFormat="1">
      <c r="A35" s="27" t="s">
        <v>67</v>
      </c>
    </row>
    <row r="36" spans="1:17" s="33" customFormat="1">
      <c r="A36" s="20" t="s">
        <v>68</v>
      </c>
      <c r="B36" s="29"/>
      <c r="C36" s="29"/>
      <c r="D36" s="29"/>
      <c r="E36" s="29"/>
      <c r="F36" s="29"/>
      <c r="G36" s="29"/>
      <c r="H36" s="29"/>
      <c r="I36" s="29"/>
      <c r="J36" s="29"/>
      <c r="K36" s="29"/>
      <c r="L36" s="29"/>
      <c r="M36" s="29"/>
      <c r="N36" s="29"/>
      <c r="O36" s="29"/>
      <c r="P36" s="29"/>
      <c r="Q36" s="29"/>
    </row>
    <row r="37" spans="1:17" s="27" customFormat="1">
      <c r="A37" s="27" t="s">
        <v>69</v>
      </c>
    </row>
    <row r="39" spans="1:17" s="35" customFormat="1">
      <c r="A39" s="34" t="s">
        <v>70</v>
      </c>
      <c r="B39" s="20">
        <v>90</v>
      </c>
      <c r="C39" s="20">
        <v>0</v>
      </c>
      <c r="D39" s="20">
        <v>0</v>
      </c>
      <c r="E39" s="20">
        <v>0</v>
      </c>
      <c r="F39" s="20">
        <f>120+30</f>
        <v>150</v>
      </c>
      <c r="G39" s="20">
        <f>H39</f>
        <v>0</v>
      </c>
      <c r="H39" s="20">
        <f>I39</f>
        <v>0</v>
      </c>
      <c r="I39" s="20">
        <f>J39</f>
        <v>0</v>
      </c>
      <c r="J39" s="20">
        <v>0</v>
      </c>
      <c r="K39" s="20">
        <v>0</v>
      </c>
      <c r="L39" s="20">
        <v>0</v>
      </c>
      <c r="M39" s="20">
        <v>40</v>
      </c>
      <c r="N39" s="20">
        <v>0</v>
      </c>
      <c r="O39" s="20"/>
      <c r="P39" s="20"/>
      <c r="Q39" s="20"/>
    </row>
    <row r="40" spans="1:17" s="35" customFormat="1">
      <c r="A40" s="34" t="s">
        <v>71</v>
      </c>
      <c r="B40" s="20">
        <f>2993+38</f>
        <v>3031</v>
      </c>
      <c r="C40" s="20">
        <f>3000+39</f>
        <v>3039</v>
      </c>
      <c r="D40" s="20">
        <f>3008+38</f>
        <v>3046</v>
      </c>
      <c r="E40" s="20">
        <f>3016+23</f>
        <v>3039</v>
      </c>
      <c r="F40" s="20">
        <f>3023+15</f>
        <v>3038</v>
      </c>
      <c r="G40" s="20">
        <v>3046</v>
      </c>
      <c r="H40" s="20">
        <v>3053</v>
      </c>
      <c r="I40" s="20">
        <f>2716+15+325</f>
        <v>3056</v>
      </c>
      <c r="J40" s="20">
        <f>2723+19+325</f>
        <v>3067</v>
      </c>
      <c r="K40" s="20">
        <f>2730+23</f>
        <v>2753</v>
      </c>
      <c r="L40" s="20">
        <f>2730+24</f>
        <v>2754</v>
      </c>
      <c r="M40" s="20">
        <f>2730+24</f>
        <v>2754</v>
      </c>
      <c r="N40" s="20">
        <v>2630</v>
      </c>
      <c r="O40" s="20"/>
      <c r="P40" s="20"/>
      <c r="Q40" s="20"/>
    </row>
    <row r="41" spans="1:17" s="35" customFormat="1">
      <c r="A41" s="34" t="s">
        <v>72</v>
      </c>
      <c r="B41" s="20">
        <f>B39+B40+13</f>
        <v>3134</v>
      </c>
      <c r="C41" s="20">
        <f>C39+C40+15</f>
        <v>3054</v>
      </c>
      <c r="D41" s="20">
        <f>D39+D40+17</f>
        <v>3063</v>
      </c>
      <c r="E41" s="20">
        <f>E39+E40+19</f>
        <v>3058</v>
      </c>
      <c r="F41" s="20">
        <f>F39+F40+1</f>
        <v>3189</v>
      </c>
      <c r="G41" s="20">
        <f>G39+G40+2</f>
        <v>3048</v>
      </c>
      <c r="H41" s="20">
        <f>H39+H40+2</f>
        <v>3055</v>
      </c>
      <c r="I41" s="20">
        <f>I39+I40+2</f>
        <v>3058</v>
      </c>
      <c r="J41" s="20">
        <f>J39+J40+2</f>
        <v>3069</v>
      </c>
      <c r="K41" s="20">
        <f>K39+K40+325+2</f>
        <v>3080</v>
      </c>
      <c r="L41" s="20">
        <f>L40+325+3</f>
        <v>3082</v>
      </c>
      <c r="M41" s="20">
        <f>M39+M40+325+3</f>
        <v>3122</v>
      </c>
      <c r="N41" s="20">
        <f>N39+N40+450</f>
        <v>3080</v>
      </c>
      <c r="O41" s="20"/>
      <c r="P41" s="20"/>
      <c r="Q41" s="20"/>
    </row>
    <row r="42" spans="1:17" s="35" customFormat="1">
      <c r="A42" s="34" t="s">
        <v>73</v>
      </c>
      <c r="B42" s="36">
        <v>985</v>
      </c>
      <c r="C42" s="36">
        <v>985</v>
      </c>
      <c r="D42" s="36">
        <v>985</v>
      </c>
      <c r="E42" s="36">
        <v>985</v>
      </c>
      <c r="F42" s="36">
        <v>985</v>
      </c>
      <c r="G42" s="36">
        <v>985</v>
      </c>
      <c r="H42" s="36">
        <f>I42</f>
        <v>985</v>
      </c>
      <c r="I42" s="36">
        <f>J42</f>
        <v>985</v>
      </c>
      <c r="J42" s="36">
        <v>985</v>
      </c>
      <c r="K42" s="36">
        <v>985</v>
      </c>
      <c r="L42" s="36">
        <v>985</v>
      </c>
      <c r="M42" s="36">
        <v>985</v>
      </c>
      <c r="N42" s="36">
        <v>985</v>
      </c>
      <c r="O42" s="36"/>
      <c r="P42" s="36"/>
      <c r="Q42" s="36"/>
    </row>
    <row r="43" spans="1:17">
      <c r="B43" s="35"/>
      <c r="C43" s="35"/>
      <c r="D43" s="35"/>
      <c r="E43" s="35"/>
      <c r="F43" s="35"/>
      <c r="G43" s="35"/>
      <c r="H43" s="35"/>
      <c r="I43" s="35"/>
      <c r="J43" s="35"/>
      <c r="K43" s="35"/>
      <c r="L43" s="35"/>
      <c r="M43" s="35"/>
      <c r="N43" s="35"/>
      <c r="O43" s="35"/>
      <c r="P43" s="35"/>
    </row>
    <row r="44" spans="1:17">
      <c r="A44" s="19" t="s">
        <v>74</v>
      </c>
      <c r="B44" s="28">
        <v>230</v>
      </c>
      <c r="C44" s="28">
        <v>191</v>
      </c>
      <c r="D44" s="28">
        <v>289</v>
      </c>
      <c r="E44" s="28">
        <v>224</v>
      </c>
      <c r="F44" s="28">
        <v>159</v>
      </c>
      <c r="G44" s="28">
        <v>155</v>
      </c>
      <c r="H44" s="28">
        <v>151</v>
      </c>
      <c r="I44" s="28">
        <f>163-8</f>
        <v>155</v>
      </c>
      <c r="J44" s="28">
        <f>207</f>
        <v>207</v>
      </c>
      <c r="K44" s="28">
        <v>123</v>
      </c>
      <c r="L44" s="28">
        <v>269</v>
      </c>
      <c r="M44" s="28">
        <v>168</v>
      </c>
      <c r="N44" s="28">
        <v>150</v>
      </c>
      <c r="O44" s="28"/>
      <c r="P44" s="28">
        <v>163</v>
      </c>
      <c r="Q44" s="28"/>
    </row>
    <row r="46" spans="1:17">
      <c r="A46" s="14" t="s">
        <v>75</v>
      </c>
      <c r="B46" s="58">
        <f t="shared" ref="B46:M46" si="22">SUM(B12:E12)</f>
        <v>3257</v>
      </c>
      <c r="C46" s="58">
        <f t="shared" si="22"/>
        <v>3274</v>
      </c>
      <c r="D46" s="58">
        <f t="shared" si="22"/>
        <v>3219</v>
      </c>
      <c r="E46" s="58">
        <f t="shared" si="22"/>
        <v>3278</v>
      </c>
      <c r="F46" s="58">
        <f t="shared" si="22"/>
        <v>3254</v>
      </c>
      <c r="G46" s="58">
        <f t="shared" si="22"/>
        <v>3362.5610000000001</v>
      </c>
      <c r="H46" s="58">
        <f t="shared" si="22"/>
        <v>3587.0650000000001</v>
      </c>
      <c r="I46" s="58">
        <f t="shared" si="22"/>
        <v>3716.0650000000001</v>
      </c>
      <c r="J46" s="58">
        <f t="shared" si="22"/>
        <v>3724.0650000000001</v>
      </c>
      <c r="K46" s="58">
        <f t="shared" si="22"/>
        <v>3797.5039999999999</v>
      </c>
      <c r="L46" s="58">
        <f t="shared" si="22"/>
        <v>3661</v>
      </c>
      <c r="M46" s="58">
        <f t="shared" si="22"/>
        <v>3606</v>
      </c>
      <c r="N46" s="51">
        <v>3528</v>
      </c>
      <c r="O46" s="33"/>
      <c r="P46" s="33"/>
      <c r="Q46" s="33"/>
    </row>
    <row r="47" spans="1:17">
      <c r="A47" s="14" t="s">
        <v>76</v>
      </c>
      <c r="B47" s="58">
        <f t="shared" ref="B47" si="23">B27</f>
        <v>678</v>
      </c>
      <c r="C47" s="58">
        <f t="shared" ref="C47" si="24">C27</f>
        <v>676</v>
      </c>
      <c r="D47" s="58">
        <f t="shared" ref="D47:E47" si="25">D27</f>
        <v>620</v>
      </c>
      <c r="E47" s="58">
        <f t="shared" si="25"/>
        <v>692</v>
      </c>
      <c r="F47" s="58">
        <f t="shared" ref="F47:G47" si="26">F27</f>
        <v>661</v>
      </c>
      <c r="G47" s="58">
        <f t="shared" si="26"/>
        <v>651</v>
      </c>
      <c r="H47" s="58">
        <f t="shared" ref="H47:N47" si="27">H27</f>
        <v>690</v>
      </c>
      <c r="I47" s="58">
        <f t="shared" si="27"/>
        <v>626.25800000000004</v>
      </c>
      <c r="J47" s="58">
        <f t="shared" si="27"/>
        <v>632</v>
      </c>
      <c r="K47" s="58">
        <f t="shared" si="27"/>
        <v>595</v>
      </c>
      <c r="L47" s="58">
        <f t="shared" si="27"/>
        <v>546</v>
      </c>
      <c r="M47" s="58">
        <f t="shared" si="27"/>
        <v>545</v>
      </c>
      <c r="N47" s="58">
        <f t="shared" si="27"/>
        <v>544</v>
      </c>
      <c r="O47" s="33"/>
      <c r="P47" s="33"/>
      <c r="Q47" s="33"/>
    </row>
    <row r="48" spans="1:17">
      <c r="A48" s="14" t="s">
        <v>77</v>
      </c>
      <c r="B48" s="58"/>
      <c r="C48" s="58"/>
      <c r="D48" s="58"/>
      <c r="E48" s="58"/>
      <c r="F48" s="58"/>
      <c r="G48" s="58"/>
      <c r="H48" s="58"/>
      <c r="I48" s="58"/>
      <c r="J48" s="58"/>
      <c r="K48" s="58"/>
      <c r="L48" s="58"/>
      <c r="M48" s="58"/>
      <c r="N48" s="51">
        <v>321.45000000000005</v>
      </c>
      <c r="O48" s="33"/>
      <c r="P48" s="33"/>
      <c r="Q48" s="33"/>
    </row>
    <row r="50" spans="1:17" s="37" customFormat="1">
      <c r="A50" s="37" t="s">
        <v>78</v>
      </c>
      <c r="B50" s="37">
        <f t="shared" ref="B50" si="28">+SUM(B39:B40)/B47</f>
        <v>4.6032448377581119</v>
      </c>
      <c r="C50" s="37">
        <f t="shared" ref="C50:D50" si="29">+SUM(C39:C40)/C47</f>
        <v>4.4955621301775146</v>
      </c>
      <c r="D50" s="37">
        <f t="shared" si="29"/>
        <v>4.9129032258064518</v>
      </c>
      <c r="E50" s="37">
        <f t="shared" ref="E50:F50" si="30">+SUM(E39:E40)/E47</f>
        <v>4.3916184971098264</v>
      </c>
      <c r="F50" s="37">
        <f t="shared" si="30"/>
        <v>4.8229954614220878</v>
      </c>
      <c r="G50" s="37">
        <f t="shared" ref="G50:H50" si="31">+SUM(G39:G40)/G47</f>
        <v>4.6789554531490012</v>
      </c>
      <c r="H50" s="37">
        <f t="shared" si="31"/>
        <v>4.4246376811594201</v>
      </c>
      <c r="I50" s="37">
        <f t="shared" ref="I50:N50" si="32">+SUM(I39:I40)/I47</f>
        <v>4.8797779828760666</v>
      </c>
      <c r="J50" s="37">
        <f t="shared" si="32"/>
        <v>4.8528481012658231</v>
      </c>
      <c r="K50" s="37">
        <f t="shared" si="32"/>
        <v>4.6268907563025214</v>
      </c>
      <c r="L50" s="37">
        <f t="shared" si="32"/>
        <v>5.0439560439560438</v>
      </c>
      <c r="M50" s="37">
        <f t="shared" si="32"/>
        <v>5.1266055045871557</v>
      </c>
      <c r="N50" s="37">
        <f t="shared" si="32"/>
        <v>4.8345588235294121</v>
      </c>
    </row>
    <row r="51" spans="1:17" s="37" customFormat="1">
      <c r="A51" s="37" t="s">
        <v>79</v>
      </c>
      <c r="B51" s="37">
        <f t="shared" ref="B51" si="33">+B41/B47</f>
        <v>4.6224188790560472</v>
      </c>
      <c r="C51" s="37">
        <f t="shared" ref="C51:D51" si="34">+C41/C47</f>
        <v>4.5177514792899407</v>
      </c>
      <c r="D51" s="37">
        <f t="shared" si="34"/>
        <v>4.9403225806451614</v>
      </c>
      <c r="E51" s="37">
        <f t="shared" ref="E51:F51" si="35">+E41/E47</f>
        <v>4.4190751445086702</v>
      </c>
      <c r="F51" s="37">
        <f t="shared" si="35"/>
        <v>4.8245083207261725</v>
      </c>
      <c r="G51" s="37">
        <f t="shared" ref="G51:H51" si="36">+G41/G47</f>
        <v>4.6820276497695854</v>
      </c>
      <c r="H51" s="37">
        <f t="shared" si="36"/>
        <v>4.4275362318840576</v>
      </c>
      <c r="I51" s="37">
        <f t="shared" ref="I51:N51" si="37">+I41/I47</f>
        <v>4.8829715548543886</v>
      </c>
      <c r="J51" s="37">
        <f t="shared" si="37"/>
        <v>4.856012658227848</v>
      </c>
      <c r="K51" s="37">
        <f t="shared" si="37"/>
        <v>5.1764705882352944</v>
      </c>
      <c r="L51" s="37">
        <f t="shared" si="37"/>
        <v>5.6446886446886451</v>
      </c>
      <c r="M51" s="37">
        <f t="shared" si="37"/>
        <v>5.7284403669724773</v>
      </c>
      <c r="N51" s="37">
        <f t="shared" si="37"/>
        <v>5.6617647058823533</v>
      </c>
    </row>
    <row r="52" spans="1:17" s="37" customFormat="1">
      <c r="A52" s="37" t="s">
        <v>80</v>
      </c>
      <c r="B52" s="37">
        <f t="shared" ref="B52" si="38">+(B41-B44)/B47</f>
        <v>4.283185840707965</v>
      </c>
      <c r="C52" s="37">
        <f t="shared" ref="C52:D52" si="39">+(C41-C44)/C47</f>
        <v>4.2352071005917162</v>
      </c>
      <c r="D52" s="37">
        <f t="shared" si="39"/>
        <v>4.4741935483870972</v>
      </c>
      <c r="E52" s="37">
        <f t="shared" ref="E52:F52" si="40">+(E41-E44)/E47</f>
        <v>4.0953757225433529</v>
      </c>
      <c r="F52" s="37">
        <f t="shared" si="40"/>
        <v>4.5839636913767023</v>
      </c>
      <c r="G52" s="37">
        <f t="shared" ref="G52:H52" si="41">+(G41-G44)/G47</f>
        <v>4.4439324116743473</v>
      </c>
      <c r="H52" s="37">
        <f t="shared" si="41"/>
        <v>4.2086956521739127</v>
      </c>
      <c r="I52" s="37">
        <f t="shared" ref="I52:N52" si="42">+(I41-I44)/I47</f>
        <v>4.6354697265344313</v>
      </c>
      <c r="J52" s="37">
        <f t="shared" si="42"/>
        <v>4.5284810126582276</v>
      </c>
      <c r="K52" s="37">
        <f t="shared" si="42"/>
        <v>4.969747899159664</v>
      </c>
      <c r="L52" s="37">
        <f t="shared" si="42"/>
        <v>5.1520146520146524</v>
      </c>
      <c r="M52" s="37">
        <f t="shared" si="42"/>
        <v>5.4201834862385319</v>
      </c>
      <c r="N52" s="37">
        <f t="shared" si="42"/>
        <v>5.3860294117647056</v>
      </c>
    </row>
    <row r="53" spans="1:17" s="38" customFormat="1">
      <c r="A53" s="38" t="s">
        <v>81</v>
      </c>
      <c r="B53" s="38">
        <f t="shared" ref="B53" si="43">+B48/B41</f>
        <v>0</v>
      </c>
      <c r="C53" s="38">
        <f t="shared" ref="C53:D53" si="44">+C48/C41</f>
        <v>0</v>
      </c>
      <c r="D53" s="38">
        <f t="shared" si="44"/>
        <v>0</v>
      </c>
      <c r="E53" s="38">
        <f t="shared" ref="E53:F53" si="45">+E48/E41</f>
        <v>0</v>
      </c>
      <c r="F53" s="38">
        <f t="shared" si="45"/>
        <v>0</v>
      </c>
      <c r="G53" s="38">
        <f t="shared" ref="G53:H53" si="46">+G48/G41</f>
        <v>0</v>
      </c>
      <c r="H53" s="38">
        <f t="shared" si="46"/>
        <v>0</v>
      </c>
      <c r="I53" s="38">
        <f t="shared" ref="I53:N53" si="47">+I48/I41</f>
        <v>0</v>
      </c>
      <c r="J53" s="38">
        <f t="shared" si="47"/>
        <v>0</v>
      </c>
      <c r="K53" s="38">
        <f t="shared" si="47"/>
        <v>0</v>
      </c>
      <c r="L53" s="38">
        <f t="shared" si="47"/>
        <v>0</v>
      </c>
      <c r="M53" s="38">
        <f t="shared" si="47"/>
        <v>0</v>
      </c>
      <c r="N53" s="38">
        <f t="shared" si="47"/>
        <v>0.10436688311688314</v>
      </c>
    </row>
    <row r="54" spans="1:17" s="38" customFormat="1">
      <c r="A54" s="39" t="s">
        <v>82</v>
      </c>
      <c r="B54" s="40"/>
      <c r="C54" s="40"/>
      <c r="D54" s="40"/>
      <c r="E54" s="40"/>
      <c r="F54" s="40"/>
      <c r="G54" s="40"/>
      <c r="H54" s="40"/>
      <c r="I54" s="40"/>
      <c r="J54" s="40"/>
      <c r="K54" s="40"/>
      <c r="L54" s="40"/>
      <c r="M54" s="40"/>
      <c r="N54" s="40"/>
      <c r="O54" s="40"/>
      <c r="P54" s="40"/>
      <c r="Q54" s="40"/>
    </row>
    <row r="55" spans="1:17" s="38" customFormat="1">
      <c r="A55" s="38" t="s">
        <v>83</v>
      </c>
      <c r="B55" s="41">
        <f t="shared" ref="B55" si="48">IF(B42=0,IF(B54="","","*"&amp;TEXT(B54,"0.0x")),(B41+B42-B44)/B47)</f>
        <v>5.7359882005899703</v>
      </c>
      <c r="C55" s="41">
        <f t="shared" ref="C55:D55" si="49">IF(C42=0,IF(C54="","","*"&amp;TEXT(C54,"0.0x")),(C41+C42-C44)/C47)</f>
        <v>5.6923076923076925</v>
      </c>
      <c r="D55" s="41">
        <f t="shared" si="49"/>
        <v>6.0629032258064512</v>
      </c>
      <c r="E55" s="41">
        <f t="shared" ref="E55:F55" si="50">IF(E42=0,IF(E54="","","*"&amp;TEXT(E54,"0.0x")),(E41+E42-E44)/E47)</f>
        <v>5.5187861271676297</v>
      </c>
      <c r="F55" s="41">
        <f t="shared" si="50"/>
        <v>6.0741301059001511</v>
      </c>
      <c r="G55" s="41">
        <f t="shared" ref="G55:H55" si="51">IF(G42=0,IF(G54="","","*"&amp;TEXT(G54,"0.0x")),(G41+G42-G44)/G47)</f>
        <v>5.956989247311828</v>
      </c>
      <c r="H55" s="41">
        <f t="shared" si="51"/>
        <v>5.6362318840579713</v>
      </c>
      <c r="I55" s="41">
        <f t="shared" ref="I55:N55" si="52">IF(I42=0,IF(I54="","","*"&amp;TEXT(I54,"0.0x")),(I41+I42-I44)/I47)</f>
        <v>6.2083039258580328</v>
      </c>
      <c r="J55" s="41">
        <f t="shared" si="52"/>
        <v>6.087025316455696</v>
      </c>
      <c r="K55" s="41">
        <f t="shared" si="52"/>
        <v>6.6252100840336139</v>
      </c>
      <c r="L55" s="41">
        <f t="shared" si="52"/>
        <v>6.9560439560439562</v>
      </c>
      <c r="M55" s="41">
        <f t="shared" si="52"/>
        <v>7.2275229357798167</v>
      </c>
      <c r="N55" s="41">
        <f t="shared" si="52"/>
        <v>7.1966911764705879</v>
      </c>
      <c r="O55" s="41"/>
      <c r="P55" s="41"/>
      <c r="Q55" s="41"/>
    </row>
    <row r="57" spans="1:17" ht="80.25" customHeight="1">
      <c r="A57" s="43" t="s">
        <v>84</v>
      </c>
      <c r="B57" s="44" t="s">
        <v>289</v>
      </c>
      <c r="C57" s="44" t="s">
        <v>289</v>
      </c>
      <c r="D57" s="44" t="s">
        <v>289</v>
      </c>
      <c r="E57" s="44" t="s">
        <v>289</v>
      </c>
      <c r="F57" s="44" t="s">
        <v>289</v>
      </c>
      <c r="G57" s="44" t="s">
        <v>559</v>
      </c>
      <c r="H57" s="44" t="s">
        <v>500</v>
      </c>
      <c r="I57" s="44" t="s">
        <v>500</v>
      </c>
      <c r="J57" s="44" t="s">
        <v>499</v>
      </c>
      <c r="K57" s="44"/>
      <c r="L57" s="44" t="s">
        <v>327</v>
      </c>
      <c r="M57" s="44" t="s">
        <v>327</v>
      </c>
      <c r="N57" s="44" t="s">
        <v>90</v>
      </c>
      <c r="O57" s="44"/>
      <c r="P57" s="44"/>
      <c r="Q57" s="44"/>
    </row>
    <row r="58" spans="1:17">
      <c r="A58" s="45"/>
      <c r="B58" s="42"/>
      <c r="C58" s="42"/>
      <c r="D58" s="42"/>
      <c r="E58" s="42"/>
      <c r="F58" s="42"/>
      <c r="G58" s="42"/>
      <c r="H58" s="42"/>
      <c r="I58" s="42"/>
      <c r="J58" s="42"/>
      <c r="K58" s="42"/>
      <c r="L58" s="42"/>
      <c r="M58" s="42"/>
      <c r="N58" s="42"/>
    </row>
    <row r="59" spans="1:17">
      <c r="A59" s="45"/>
    </row>
  </sheetData>
  <pageMargins left="0.7" right="0.7" top="0.75" bottom="0.75" header="0.3" footer="0.3"/>
  <pageSetup orientation="portrait" r:id="rId1"/>
  <ignoredErrors>
    <ignoredError sqref="I46:P47 H46 E46:G46 I49:P50 N48:P48 B46:D48" formulaRange="1"/>
  </ignoredErrors>
  <legacyDrawing r:id="rId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2:W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O10" sqref="O10"/>
    </sheetView>
  </sheetViews>
  <sheetFormatPr defaultColWidth="9.109375" defaultRowHeight="13.8"/>
  <cols>
    <col min="1" max="1" width="22.6640625" style="14" customWidth="1"/>
    <col min="2" max="15" width="10.6640625" style="14" customWidth="1"/>
    <col min="16" max="16384" width="9.109375" style="14"/>
  </cols>
  <sheetData>
    <row r="2" spans="1:16">
      <c r="A2" s="13" t="s">
        <v>44</v>
      </c>
      <c r="B2" s="14" t="s">
        <v>276</v>
      </c>
    </row>
    <row r="3" spans="1:16" s="16" customFormat="1">
      <c r="A3" s="15" t="s">
        <v>45</v>
      </c>
      <c r="B3" s="16" t="s">
        <v>275</v>
      </c>
    </row>
    <row r="4" spans="1:16">
      <c r="A4" s="13" t="s">
        <v>2</v>
      </c>
      <c r="B4" s="14" t="s">
        <v>4</v>
      </c>
    </row>
    <row r="5" spans="1:16">
      <c r="A5" s="13" t="s">
        <v>46</v>
      </c>
    </row>
    <row r="6" spans="1:16">
      <c r="A6" s="13" t="s">
        <v>47</v>
      </c>
      <c r="B6" s="14">
        <v>3</v>
      </c>
    </row>
    <row r="7" spans="1:16">
      <c r="A7" s="13" t="s">
        <v>48</v>
      </c>
      <c r="B7" s="14" t="s">
        <v>448</v>
      </c>
    </row>
    <row r="8" spans="1:16">
      <c r="A8" s="13" t="s">
        <v>347</v>
      </c>
      <c r="B8" s="14" t="s">
        <v>363</v>
      </c>
    </row>
    <row r="9" spans="1:16">
      <c r="A9" s="17"/>
    </row>
    <row r="10" spans="1:16">
      <c r="A10" s="17" t="s">
        <v>49</v>
      </c>
      <c r="B10" s="18">
        <v>43830</v>
      </c>
      <c r="C10" s="18">
        <v>43738</v>
      </c>
      <c r="D10" s="18">
        <v>43646</v>
      </c>
      <c r="E10" s="18">
        <v>43555</v>
      </c>
      <c r="F10" s="18">
        <v>43465</v>
      </c>
      <c r="G10" s="18">
        <v>43373</v>
      </c>
      <c r="H10" s="18">
        <v>43281</v>
      </c>
      <c r="I10" s="18">
        <v>43190</v>
      </c>
      <c r="J10" s="18">
        <v>43100</v>
      </c>
      <c r="K10" s="18">
        <f t="shared" ref="K10:O10" si="0">EOMONTH(J10,-3)</f>
        <v>43008</v>
      </c>
      <c r="L10" s="18">
        <f t="shared" si="0"/>
        <v>42916</v>
      </c>
      <c r="M10" s="18">
        <f t="shared" si="0"/>
        <v>42825</v>
      </c>
      <c r="N10" s="18">
        <f t="shared" si="0"/>
        <v>42735</v>
      </c>
      <c r="O10" s="18">
        <f t="shared" si="0"/>
        <v>42643</v>
      </c>
    </row>
    <row r="12" spans="1:16">
      <c r="A12" s="19" t="s">
        <v>50</v>
      </c>
      <c r="B12" s="20">
        <v>4143</v>
      </c>
      <c r="C12" s="20">
        <v>4319</v>
      </c>
      <c r="D12" s="20">
        <v>4504</v>
      </c>
      <c r="E12" s="20">
        <v>4484</v>
      </c>
      <c r="F12" s="20">
        <v>4278</v>
      </c>
      <c r="G12" s="20">
        <v>2372</v>
      </c>
      <c r="H12" s="20">
        <v>2537</v>
      </c>
      <c r="I12" s="20">
        <v>2581</v>
      </c>
      <c r="J12" s="20">
        <f>9274-K12-L12-M12</f>
        <v>2391</v>
      </c>
      <c r="K12" s="20">
        <v>2274</v>
      </c>
      <c r="L12" s="20">
        <v>2317</v>
      </c>
      <c r="M12" s="20">
        <v>2292</v>
      </c>
      <c r="N12" s="20">
        <v>2155</v>
      </c>
      <c r="O12" s="20">
        <v>2096</v>
      </c>
      <c r="P12" s="79"/>
    </row>
    <row r="13" spans="1:16" s="21" customFormat="1">
      <c r="A13" s="21" t="s">
        <v>51</v>
      </c>
      <c r="B13" s="21">
        <f t="shared" ref="B13:K13" si="1">+B12/F12-1</f>
        <v>-3.1556802244039228E-2</v>
      </c>
      <c r="C13" s="21">
        <f t="shared" si="1"/>
        <v>0.82082630691399672</v>
      </c>
      <c r="D13" s="21">
        <f t="shared" si="1"/>
        <v>0.77532518722901056</v>
      </c>
      <c r="E13" s="21">
        <f t="shared" si="1"/>
        <v>0.73731111972103847</v>
      </c>
      <c r="F13" s="21">
        <f t="shared" si="1"/>
        <v>0.78920953575909669</v>
      </c>
      <c r="G13" s="21">
        <f t="shared" si="1"/>
        <v>4.3095866314863729E-2</v>
      </c>
      <c r="H13" s="21">
        <f t="shared" si="1"/>
        <v>9.4950366853690182E-2</v>
      </c>
      <c r="I13" s="21">
        <f t="shared" si="1"/>
        <v>0.12609075043630025</v>
      </c>
      <c r="J13" s="21">
        <f t="shared" si="1"/>
        <v>0.1095127610208817</v>
      </c>
      <c r="K13" s="21">
        <f t="shared" si="1"/>
        <v>8.4923664122137366E-2</v>
      </c>
      <c r="P13" s="91"/>
    </row>
    <row r="14" spans="1:16" s="24" customFormat="1">
      <c r="A14" s="22" t="s">
        <v>52</v>
      </c>
      <c r="B14" s="23" t="s">
        <v>3</v>
      </c>
      <c r="C14" s="23" t="s">
        <v>3</v>
      </c>
      <c r="D14" s="23" t="s">
        <v>3</v>
      </c>
      <c r="E14" s="23" t="s">
        <v>3</v>
      </c>
      <c r="F14" s="23" t="s">
        <v>3</v>
      </c>
      <c r="G14" s="23" t="s">
        <v>3</v>
      </c>
      <c r="H14" s="23" t="s">
        <v>3</v>
      </c>
      <c r="I14" s="23" t="s">
        <v>3</v>
      </c>
      <c r="J14" s="23" t="s">
        <v>3</v>
      </c>
      <c r="K14" s="23" t="s">
        <v>3</v>
      </c>
      <c r="L14" s="23"/>
      <c r="M14" s="23"/>
      <c r="N14" s="22"/>
      <c r="O14" s="22"/>
      <c r="P14" s="92"/>
    </row>
    <row r="15" spans="1:16">
      <c r="P15" s="79"/>
    </row>
    <row r="16" spans="1:16" s="17" customFormat="1">
      <c r="A16" s="25" t="s">
        <v>53</v>
      </c>
      <c r="B16" s="26">
        <v>216</v>
      </c>
      <c r="C16" s="26">
        <f t="shared" ref="C16:M16" si="2">C22-C21-C20-C19</f>
        <v>314</v>
      </c>
      <c r="D16" s="26">
        <f t="shared" si="2"/>
        <v>322</v>
      </c>
      <c r="E16" s="26">
        <f t="shared" si="2"/>
        <v>236</v>
      </c>
      <c r="F16" s="26">
        <f t="shared" si="2"/>
        <v>263</v>
      </c>
      <c r="G16" s="26">
        <f t="shared" si="2"/>
        <v>183</v>
      </c>
      <c r="H16" s="26">
        <f t="shared" si="2"/>
        <v>182</v>
      </c>
      <c r="I16" s="26">
        <f t="shared" si="2"/>
        <v>187</v>
      </c>
      <c r="J16" s="26">
        <f t="shared" si="2"/>
        <v>203</v>
      </c>
      <c r="K16" s="26">
        <f t="shared" si="2"/>
        <v>194</v>
      </c>
      <c r="L16" s="26">
        <f t="shared" si="2"/>
        <v>84</v>
      </c>
      <c r="M16" s="26">
        <f t="shared" si="2"/>
        <v>189</v>
      </c>
      <c r="N16" s="26">
        <v>130</v>
      </c>
      <c r="O16" s="26">
        <v>208</v>
      </c>
    </row>
    <row r="17" spans="1:23" s="21" customFormat="1">
      <c r="A17" s="21" t="s">
        <v>54</v>
      </c>
      <c r="B17" s="21">
        <f t="shared" ref="B17:O17" si="3">+B16/B12</f>
        <v>5.213613323678494E-2</v>
      </c>
      <c r="C17" s="21">
        <f t="shared" si="3"/>
        <v>7.2702014355174815E-2</v>
      </c>
      <c r="D17" s="21">
        <f t="shared" si="3"/>
        <v>7.1492007104795738E-2</v>
      </c>
      <c r="E17" s="21">
        <f t="shared" si="3"/>
        <v>5.2631578947368418E-2</v>
      </c>
      <c r="F17" s="21">
        <f t="shared" si="3"/>
        <v>6.1477325853202432E-2</v>
      </c>
      <c r="G17" s="21">
        <f t="shared" si="3"/>
        <v>7.7150084317032047E-2</v>
      </c>
      <c r="H17" s="21">
        <f t="shared" si="3"/>
        <v>7.1738273551438705E-2</v>
      </c>
      <c r="I17" s="21">
        <f t="shared" si="3"/>
        <v>7.2452537776055786E-2</v>
      </c>
      <c r="J17" s="21">
        <f t="shared" si="3"/>
        <v>8.4901714763697192E-2</v>
      </c>
      <c r="K17" s="21">
        <f t="shared" si="3"/>
        <v>8.5312225153913804E-2</v>
      </c>
      <c r="L17" s="21">
        <f t="shared" si="3"/>
        <v>3.6253776435045321E-2</v>
      </c>
      <c r="M17" s="21">
        <f t="shared" si="3"/>
        <v>8.2460732984293197E-2</v>
      </c>
      <c r="N17" s="21">
        <f t="shared" si="3"/>
        <v>6.0324825986078884E-2</v>
      </c>
      <c r="O17" s="21">
        <f t="shared" si="3"/>
        <v>9.9236641221374045E-2</v>
      </c>
      <c r="Q17" s="128"/>
      <c r="R17" s="128"/>
    </row>
    <row r="18" spans="1:23" s="24" customFormat="1">
      <c r="P18" s="113"/>
    </row>
    <row r="19" spans="1:23" s="24" customFormat="1">
      <c r="A19" s="19" t="s">
        <v>55</v>
      </c>
      <c r="B19" s="20">
        <v>30</v>
      </c>
      <c r="C19" s="20">
        <v>30</v>
      </c>
      <c r="D19" s="20">
        <v>35</v>
      </c>
      <c r="E19" s="20">
        <v>25</v>
      </c>
      <c r="F19" s="20">
        <v>25</v>
      </c>
      <c r="G19" s="20">
        <v>12</v>
      </c>
      <c r="H19" s="20">
        <v>40</v>
      </c>
      <c r="I19" s="20">
        <v>12</v>
      </c>
      <c r="J19" s="20">
        <v>20</v>
      </c>
      <c r="K19" s="20">
        <v>19</v>
      </c>
      <c r="L19" s="20">
        <v>16</v>
      </c>
      <c r="M19" s="20">
        <v>14</v>
      </c>
      <c r="N19" s="20">
        <v>0</v>
      </c>
      <c r="O19" s="20">
        <v>0</v>
      </c>
      <c r="Q19" s="105"/>
      <c r="R19" s="105"/>
    </row>
    <row r="20" spans="1:23" s="24" customFormat="1">
      <c r="A20" s="19" t="s">
        <v>56</v>
      </c>
      <c r="B20" s="20">
        <v>59</v>
      </c>
      <c r="C20" s="20">
        <v>41</v>
      </c>
      <c r="D20" s="20">
        <v>27</v>
      </c>
      <c r="E20" s="20">
        <v>47</v>
      </c>
      <c r="F20" s="20">
        <v>102</v>
      </c>
      <c r="G20" s="20">
        <v>12</v>
      </c>
      <c r="H20" s="20">
        <v>18</v>
      </c>
      <c r="I20" s="20">
        <v>13</v>
      </c>
      <c r="J20" s="20">
        <v>0</v>
      </c>
      <c r="K20" s="20">
        <v>0</v>
      </c>
      <c r="L20" s="20">
        <v>0</v>
      </c>
      <c r="M20" s="20">
        <v>0</v>
      </c>
      <c r="N20" s="20">
        <v>9</v>
      </c>
      <c r="O20" s="20">
        <v>7</v>
      </c>
      <c r="Q20" s="113"/>
    </row>
    <row r="21" spans="1:23" s="24" customFormat="1">
      <c r="A21" s="19" t="s">
        <v>57</v>
      </c>
      <c r="B21" s="20">
        <f>B22-B16-B19-B20</f>
        <v>4</v>
      </c>
      <c r="C21" s="20">
        <v>1</v>
      </c>
      <c r="D21" s="20">
        <f>15+7+7</f>
        <v>29</v>
      </c>
      <c r="E21" s="20">
        <f>17+9</f>
        <v>26</v>
      </c>
      <c r="F21" s="20">
        <v>11</v>
      </c>
      <c r="G21" s="20">
        <v>0</v>
      </c>
      <c r="H21" s="20">
        <v>-6</v>
      </c>
      <c r="I21" s="20">
        <v>-5</v>
      </c>
      <c r="J21" s="20">
        <v>2</v>
      </c>
      <c r="K21" s="20">
        <v>-1</v>
      </c>
      <c r="L21" s="20">
        <v>130</v>
      </c>
      <c r="M21" s="20">
        <v>2</v>
      </c>
      <c r="N21" s="20">
        <v>71</v>
      </c>
      <c r="O21" s="20">
        <v>-3</v>
      </c>
      <c r="P21" s="17"/>
      <c r="Q21" s="17"/>
      <c r="R21" s="17"/>
      <c r="S21" s="17"/>
      <c r="T21" s="17"/>
      <c r="U21" s="17"/>
      <c r="V21" s="17"/>
      <c r="W21" s="17"/>
    </row>
    <row r="22" spans="1:23" s="17" customFormat="1">
      <c r="A22" s="17" t="s">
        <v>58</v>
      </c>
      <c r="B22" s="46">
        <v>309</v>
      </c>
      <c r="C22" s="46">
        <v>386</v>
      </c>
      <c r="D22" s="46">
        <v>413</v>
      </c>
      <c r="E22" s="46">
        <v>334</v>
      </c>
      <c r="F22" s="46">
        <v>401</v>
      </c>
      <c r="G22" s="46">
        <v>207</v>
      </c>
      <c r="H22" s="46">
        <v>234</v>
      </c>
      <c r="I22" s="46">
        <v>207</v>
      </c>
      <c r="J22" s="46">
        <v>225</v>
      </c>
      <c r="K22" s="46">
        <v>212</v>
      </c>
      <c r="L22" s="46">
        <v>230</v>
      </c>
      <c r="M22" s="46">
        <v>205</v>
      </c>
      <c r="N22" s="27">
        <f t="shared" ref="N22:O22" si="4">SUM(N16,N19:N21)</f>
        <v>210</v>
      </c>
      <c r="O22" s="27">
        <f t="shared" si="4"/>
        <v>212</v>
      </c>
    </row>
    <row r="23" spans="1:23" s="17" customFormat="1">
      <c r="B23" s="21"/>
      <c r="C23" s="21"/>
      <c r="D23" s="21"/>
      <c r="E23" s="21"/>
      <c r="F23" s="21"/>
      <c r="G23" s="21"/>
      <c r="H23" s="27"/>
      <c r="I23" s="27"/>
      <c r="J23" s="27"/>
      <c r="K23" s="27"/>
      <c r="L23" s="27"/>
      <c r="M23" s="27"/>
      <c r="N23" s="27"/>
      <c r="O23" s="27"/>
    </row>
    <row r="24" spans="1:23" s="17" customFormat="1">
      <c r="A24" s="17" t="s">
        <v>59</v>
      </c>
      <c r="B24" s="27">
        <f t="shared" ref="B24:L24" si="5">SUM(B22:E22)</f>
        <v>1442</v>
      </c>
      <c r="C24" s="27">
        <f t="shared" si="5"/>
        <v>1534</v>
      </c>
      <c r="D24" s="27">
        <f t="shared" si="5"/>
        <v>1355</v>
      </c>
      <c r="E24" s="27">
        <f t="shared" si="5"/>
        <v>1176</v>
      </c>
      <c r="F24" s="27">
        <f t="shared" si="5"/>
        <v>1049</v>
      </c>
      <c r="G24" s="27">
        <f t="shared" si="5"/>
        <v>873</v>
      </c>
      <c r="H24" s="27">
        <f t="shared" si="5"/>
        <v>878</v>
      </c>
      <c r="I24" s="27">
        <f t="shared" si="5"/>
        <v>874</v>
      </c>
      <c r="J24" s="27">
        <f t="shared" si="5"/>
        <v>872</v>
      </c>
      <c r="K24" s="27">
        <f t="shared" si="5"/>
        <v>857</v>
      </c>
      <c r="L24" s="27">
        <f t="shared" si="5"/>
        <v>857</v>
      </c>
      <c r="M24" s="27"/>
      <c r="N24" s="27"/>
      <c r="O24" s="27"/>
    </row>
    <row r="25" spans="1:23" s="24" customFormat="1">
      <c r="A25" s="19" t="s">
        <v>60</v>
      </c>
      <c r="B25" s="28">
        <v>0</v>
      </c>
      <c r="C25" s="28">
        <v>0</v>
      </c>
      <c r="D25" s="28">
        <v>0</v>
      </c>
      <c r="E25" s="28">
        <v>0</v>
      </c>
      <c r="F25" s="28">
        <v>0</v>
      </c>
      <c r="G25" s="28">
        <v>0</v>
      </c>
      <c r="H25" s="28">
        <v>0</v>
      </c>
      <c r="I25" s="28">
        <v>0</v>
      </c>
      <c r="J25" s="28">
        <v>0</v>
      </c>
      <c r="K25" s="28">
        <v>0</v>
      </c>
      <c r="L25" s="28">
        <v>0</v>
      </c>
      <c r="M25" s="28"/>
      <c r="N25" s="28"/>
      <c r="O25" s="28"/>
    </row>
    <row r="26" spans="1:23" s="24" customFormat="1">
      <c r="A26" s="19" t="s">
        <v>61</v>
      </c>
      <c r="B26" s="29">
        <v>0</v>
      </c>
      <c r="C26" s="29">
        <v>0</v>
      </c>
      <c r="D26" s="29">
        <v>0</v>
      </c>
      <c r="E26" s="29">
        <v>0</v>
      </c>
      <c r="F26" s="29">
        <v>0</v>
      </c>
      <c r="G26" s="29">
        <v>0</v>
      </c>
      <c r="H26" s="29">
        <v>0</v>
      </c>
      <c r="I26" s="29">
        <v>0</v>
      </c>
      <c r="J26" s="29">
        <v>0</v>
      </c>
      <c r="K26" s="29">
        <v>0</v>
      </c>
      <c r="L26" s="29">
        <v>0</v>
      </c>
      <c r="M26" s="29"/>
      <c r="N26" s="29"/>
      <c r="O26" s="29"/>
    </row>
    <row r="27" spans="1:23" s="32" customFormat="1">
      <c r="A27" s="17" t="s">
        <v>62</v>
      </c>
      <c r="B27" s="27">
        <f t="shared" ref="B27" si="6">SUM(B24:B26)</f>
        <v>1442</v>
      </c>
      <c r="C27" s="27">
        <f t="shared" ref="C27:D27" si="7">SUM(C24:C26)</f>
        <v>1534</v>
      </c>
      <c r="D27" s="27">
        <f t="shared" si="7"/>
        <v>1355</v>
      </c>
      <c r="E27" s="27">
        <f t="shared" ref="E27:F27" si="8">SUM(E24:E26)</f>
        <v>1176</v>
      </c>
      <c r="F27" s="27">
        <f t="shared" si="8"/>
        <v>1049</v>
      </c>
      <c r="G27" s="27">
        <f t="shared" ref="G27:L27" si="9">SUM(G24:G26)</f>
        <v>873</v>
      </c>
      <c r="H27" s="27">
        <f t="shared" si="9"/>
        <v>878</v>
      </c>
      <c r="I27" s="27">
        <f t="shared" si="9"/>
        <v>874</v>
      </c>
      <c r="J27" s="27">
        <f t="shared" si="9"/>
        <v>872</v>
      </c>
      <c r="K27" s="27">
        <f t="shared" si="9"/>
        <v>857</v>
      </c>
      <c r="L27" s="27">
        <f t="shared" si="9"/>
        <v>857</v>
      </c>
      <c r="M27" s="27"/>
      <c r="N27" s="27"/>
      <c r="O27" s="27"/>
    </row>
    <row r="28" spans="1:23" s="24" customFormat="1"/>
    <row r="29" spans="1:23" s="17" customFormat="1">
      <c r="A29" s="17" t="s">
        <v>58</v>
      </c>
      <c r="B29" s="27">
        <f t="shared" ref="B29" si="10">B22</f>
        <v>309</v>
      </c>
      <c r="C29" s="27">
        <f t="shared" ref="C29:D29" si="11">C22</f>
        <v>386</v>
      </c>
      <c r="D29" s="27">
        <f t="shared" si="11"/>
        <v>413</v>
      </c>
      <c r="E29" s="27">
        <f t="shared" ref="E29:O29" si="12">E22</f>
        <v>334</v>
      </c>
      <c r="F29" s="27">
        <f t="shared" si="12"/>
        <v>401</v>
      </c>
      <c r="G29" s="27">
        <f t="shared" si="12"/>
        <v>207</v>
      </c>
      <c r="H29" s="27">
        <f t="shared" si="12"/>
        <v>234</v>
      </c>
      <c r="I29" s="27">
        <f t="shared" si="12"/>
        <v>207</v>
      </c>
      <c r="J29" s="27">
        <f t="shared" si="12"/>
        <v>225</v>
      </c>
      <c r="K29" s="27">
        <f t="shared" si="12"/>
        <v>212</v>
      </c>
      <c r="L29" s="27">
        <f t="shared" si="12"/>
        <v>230</v>
      </c>
      <c r="M29" s="27">
        <f t="shared" si="12"/>
        <v>205</v>
      </c>
      <c r="N29" s="27">
        <f t="shared" si="12"/>
        <v>210</v>
      </c>
      <c r="O29" s="27">
        <f t="shared" si="12"/>
        <v>212</v>
      </c>
    </row>
    <row r="30" spans="1:23" s="33" customFormat="1">
      <c r="A30" s="20" t="s">
        <v>63</v>
      </c>
      <c r="B30" s="20">
        <v>-54</v>
      </c>
      <c r="C30" s="20">
        <v>-79</v>
      </c>
      <c r="D30" s="20">
        <v>-82</v>
      </c>
      <c r="E30" s="20">
        <v>-74</v>
      </c>
      <c r="F30" s="20">
        <v>-78</v>
      </c>
      <c r="G30" s="20">
        <v>-25</v>
      </c>
      <c r="H30" s="20">
        <v>-20</v>
      </c>
      <c r="I30" s="20">
        <v>-23</v>
      </c>
      <c r="J30" s="20">
        <v>-19</v>
      </c>
      <c r="K30" s="20">
        <v>-19</v>
      </c>
      <c r="L30" s="20">
        <v>-20</v>
      </c>
      <c r="M30" s="20">
        <v>-15</v>
      </c>
      <c r="N30" s="20">
        <v>-16</v>
      </c>
      <c r="O30" s="20">
        <v>-24</v>
      </c>
    </row>
    <row r="31" spans="1:23" s="33" customFormat="1">
      <c r="A31" s="20" t="s">
        <v>64</v>
      </c>
      <c r="B31" s="20">
        <v>-38</v>
      </c>
      <c r="C31" s="20">
        <v>-92</v>
      </c>
      <c r="D31" s="20">
        <v>-20</v>
      </c>
      <c r="E31" s="20">
        <v>-43</v>
      </c>
      <c r="F31" s="20">
        <v>-34</v>
      </c>
      <c r="G31" s="20">
        <v>-23</v>
      </c>
      <c r="H31" s="20">
        <v>-35</v>
      </c>
      <c r="I31" s="20">
        <v>-25</v>
      </c>
      <c r="J31" s="20">
        <v>-29</v>
      </c>
      <c r="K31" s="20">
        <v>-25</v>
      </c>
      <c r="L31" s="20">
        <v>0</v>
      </c>
      <c r="M31" s="20">
        <v>-26</v>
      </c>
      <c r="N31" s="20">
        <v>-4</v>
      </c>
      <c r="O31" s="20">
        <v>-17</v>
      </c>
    </row>
    <row r="32" spans="1:23" s="33" customFormat="1">
      <c r="A32" s="20" t="s">
        <v>65</v>
      </c>
      <c r="B32" s="20">
        <v>290</v>
      </c>
      <c r="C32" s="20">
        <v>7</v>
      </c>
      <c r="D32" s="20">
        <v>-171</v>
      </c>
      <c r="E32" s="20">
        <f>-312+11+157-38-59</f>
        <v>-241</v>
      </c>
      <c r="F32" s="20">
        <v>346</v>
      </c>
      <c r="G32" s="20">
        <v>-165</v>
      </c>
      <c r="H32" s="20">
        <v>-49</v>
      </c>
      <c r="I32" s="20">
        <f>-221-32+185-4-62</f>
        <v>-134</v>
      </c>
      <c r="J32" s="20">
        <v>291</v>
      </c>
      <c r="K32" s="20">
        <v>-90</v>
      </c>
      <c r="L32" s="20">
        <v>52</v>
      </c>
      <c r="M32" s="20">
        <v>-158</v>
      </c>
      <c r="N32" s="20">
        <v>123</v>
      </c>
      <c r="O32" s="20">
        <v>-43</v>
      </c>
    </row>
    <row r="33" spans="1:18" s="33" customFormat="1">
      <c r="A33" s="20" t="s">
        <v>66</v>
      </c>
      <c r="B33" s="20">
        <f t="shared" ref="B33:O33" si="13">-B19-B20-B21</f>
        <v>-93</v>
      </c>
      <c r="C33" s="20">
        <f t="shared" si="13"/>
        <v>-72</v>
      </c>
      <c r="D33" s="20">
        <f t="shared" si="13"/>
        <v>-91</v>
      </c>
      <c r="E33" s="20">
        <f t="shared" si="13"/>
        <v>-98</v>
      </c>
      <c r="F33" s="20">
        <f t="shared" si="13"/>
        <v>-138</v>
      </c>
      <c r="G33" s="20">
        <f t="shared" si="13"/>
        <v>-24</v>
      </c>
      <c r="H33" s="20">
        <f t="shared" si="13"/>
        <v>-52</v>
      </c>
      <c r="I33" s="20">
        <f t="shared" si="13"/>
        <v>-20</v>
      </c>
      <c r="J33" s="20">
        <f t="shared" si="13"/>
        <v>-22</v>
      </c>
      <c r="K33" s="20">
        <f t="shared" si="13"/>
        <v>-18</v>
      </c>
      <c r="L33" s="20">
        <f t="shared" si="13"/>
        <v>-146</v>
      </c>
      <c r="M33" s="20">
        <f t="shared" si="13"/>
        <v>-16</v>
      </c>
      <c r="N33" s="20">
        <f t="shared" si="13"/>
        <v>-80</v>
      </c>
      <c r="O33" s="20">
        <f t="shared" si="13"/>
        <v>-4</v>
      </c>
    </row>
    <row r="34" spans="1:18" s="33" customFormat="1">
      <c r="A34" s="20" t="s">
        <v>57</v>
      </c>
      <c r="B34" s="29">
        <f t="shared" ref="B34:O34" si="14">B35-B29-B30-B31-B32-B33</f>
        <v>-34</v>
      </c>
      <c r="C34" s="29">
        <f t="shared" si="14"/>
        <v>14</v>
      </c>
      <c r="D34" s="29">
        <f t="shared" si="14"/>
        <v>1</v>
      </c>
      <c r="E34" s="29">
        <f t="shared" si="14"/>
        <v>-28</v>
      </c>
      <c r="F34" s="29">
        <f t="shared" si="14"/>
        <v>-95</v>
      </c>
      <c r="G34" s="29">
        <f t="shared" si="14"/>
        <v>-11</v>
      </c>
      <c r="H34" s="29">
        <f t="shared" si="14"/>
        <v>-3</v>
      </c>
      <c r="I34" s="29">
        <f t="shared" si="14"/>
        <v>-5</v>
      </c>
      <c r="J34" s="29">
        <f t="shared" si="14"/>
        <v>20</v>
      </c>
      <c r="K34" s="29">
        <f t="shared" si="14"/>
        <v>-7</v>
      </c>
      <c r="L34" s="29">
        <f t="shared" si="14"/>
        <v>3</v>
      </c>
      <c r="M34" s="29">
        <f t="shared" si="14"/>
        <v>1</v>
      </c>
      <c r="N34" s="29">
        <f t="shared" si="14"/>
        <v>17</v>
      </c>
      <c r="O34" s="29">
        <f t="shared" si="14"/>
        <v>15</v>
      </c>
    </row>
    <row r="35" spans="1:18" s="27" customFormat="1">
      <c r="A35" s="27" t="s">
        <v>67</v>
      </c>
      <c r="B35" s="27">
        <v>380</v>
      </c>
      <c r="C35" s="27">
        <v>164</v>
      </c>
      <c r="D35" s="27">
        <v>50</v>
      </c>
      <c r="E35" s="27">
        <v>-150</v>
      </c>
      <c r="F35" s="27">
        <v>402</v>
      </c>
      <c r="G35" s="27">
        <v>-41</v>
      </c>
      <c r="H35" s="27">
        <v>75</v>
      </c>
      <c r="I35" s="27">
        <v>0</v>
      </c>
      <c r="J35" s="27">
        <v>466</v>
      </c>
      <c r="K35" s="27">
        <v>53</v>
      </c>
      <c r="L35" s="27">
        <v>119</v>
      </c>
      <c r="M35" s="27">
        <v>-9</v>
      </c>
      <c r="N35" s="27">
        <v>250</v>
      </c>
      <c r="O35" s="27">
        <v>139</v>
      </c>
    </row>
    <row r="36" spans="1:18" s="33" customFormat="1">
      <c r="A36" s="20" t="s">
        <v>68</v>
      </c>
      <c r="B36" s="29">
        <v>-203</v>
      </c>
      <c r="C36" s="29">
        <v>-162</v>
      </c>
      <c r="D36" s="29">
        <v>-169</v>
      </c>
      <c r="E36" s="29">
        <v>-210</v>
      </c>
      <c r="F36" s="29">
        <v>-252</v>
      </c>
      <c r="G36" s="29">
        <f>-78-3</f>
        <v>-81</v>
      </c>
      <c r="H36" s="29">
        <v>-85</v>
      </c>
      <c r="I36" s="29">
        <v>-89</v>
      </c>
      <c r="J36" s="29">
        <v>-111</v>
      </c>
      <c r="K36" s="29">
        <v>-90</v>
      </c>
      <c r="L36" s="29">
        <v>-90</v>
      </c>
      <c r="M36" s="29">
        <v>-103</v>
      </c>
      <c r="N36" s="29">
        <v>-112</v>
      </c>
      <c r="O36" s="29">
        <v>-74</v>
      </c>
    </row>
    <row r="37" spans="1:18" s="27" customFormat="1">
      <c r="A37" s="27" t="s">
        <v>69</v>
      </c>
      <c r="B37" s="27">
        <f t="shared" ref="B37:O37" si="15">+B35+B36</f>
        <v>177</v>
      </c>
      <c r="C37" s="27">
        <f t="shared" si="15"/>
        <v>2</v>
      </c>
      <c r="D37" s="27">
        <f t="shared" si="15"/>
        <v>-119</v>
      </c>
      <c r="E37" s="27">
        <f t="shared" si="15"/>
        <v>-360</v>
      </c>
      <c r="F37" s="27">
        <f t="shared" si="15"/>
        <v>150</v>
      </c>
      <c r="G37" s="27">
        <f t="shared" si="15"/>
        <v>-122</v>
      </c>
      <c r="H37" s="27">
        <f t="shared" si="15"/>
        <v>-10</v>
      </c>
      <c r="I37" s="27">
        <f t="shared" si="15"/>
        <v>-89</v>
      </c>
      <c r="J37" s="27">
        <f t="shared" si="15"/>
        <v>355</v>
      </c>
      <c r="K37" s="27">
        <f t="shared" si="15"/>
        <v>-37</v>
      </c>
      <c r="L37" s="27">
        <f t="shared" si="15"/>
        <v>29</v>
      </c>
      <c r="M37" s="27">
        <f t="shared" si="15"/>
        <v>-112</v>
      </c>
      <c r="N37" s="27">
        <f t="shared" si="15"/>
        <v>138</v>
      </c>
      <c r="O37" s="27">
        <f t="shared" si="15"/>
        <v>65</v>
      </c>
    </row>
    <row r="39" spans="1:18" s="35" customFormat="1">
      <c r="A39" s="34" t="s">
        <v>70</v>
      </c>
      <c r="B39" s="20">
        <v>183</v>
      </c>
      <c r="C39" s="20">
        <v>229</v>
      </c>
      <c r="D39" s="20">
        <v>250</v>
      </c>
      <c r="E39" s="20">
        <v>132</v>
      </c>
      <c r="F39" s="20">
        <v>0</v>
      </c>
      <c r="G39" s="20">
        <f t="shared" ref="G39:H42" si="16">I39</f>
        <v>0</v>
      </c>
      <c r="H39" s="20">
        <f t="shared" si="16"/>
        <v>0</v>
      </c>
      <c r="I39" s="20">
        <f>J39</f>
        <v>0</v>
      </c>
      <c r="J39" s="20">
        <v>0</v>
      </c>
      <c r="K39" s="20">
        <v>453</v>
      </c>
      <c r="L39" s="20">
        <v>366</v>
      </c>
      <c r="M39" s="20"/>
      <c r="N39" s="20"/>
      <c r="O39" s="20"/>
      <c r="P39" s="58"/>
      <c r="Q39" s="33"/>
    </row>
    <row r="40" spans="1:18" s="35" customFormat="1">
      <c r="A40" s="34" t="s">
        <v>71</v>
      </c>
      <c r="B40" s="20">
        <f>4646-B39</f>
        <v>4463</v>
      </c>
      <c r="C40" s="20">
        <f>4682-C39</f>
        <v>4453</v>
      </c>
      <c r="D40" s="20">
        <f>1649+1626+489+345+422</f>
        <v>4531</v>
      </c>
      <c r="E40" s="20">
        <f>1670+1628+483+341+417</f>
        <v>4539</v>
      </c>
      <c r="F40" s="20">
        <f>1691+1629+496+349+427</f>
        <v>4592</v>
      </c>
      <c r="G40" s="20">
        <f t="shared" si="16"/>
        <v>3400</v>
      </c>
      <c r="H40" s="20">
        <f t="shared" si="16"/>
        <v>3400</v>
      </c>
      <c r="I40" s="20">
        <f t="shared" ref="I40:I42" si="17">J40</f>
        <v>3400</v>
      </c>
      <c r="J40" s="20">
        <v>3400</v>
      </c>
      <c r="K40" s="20">
        <v>395</v>
      </c>
      <c r="L40" s="20">
        <v>400</v>
      </c>
      <c r="M40" s="20"/>
      <c r="N40" s="20"/>
      <c r="O40" s="20"/>
      <c r="Q40" s="58"/>
      <c r="R40" s="89"/>
    </row>
    <row r="41" spans="1:18" s="35" customFormat="1">
      <c r="A41" s="34" t="s">
        <v>72</v>
      </c>
      <c r="B41" s="20">
        <v>5556</v>
      </c>
      <c r="C41" s="20">
        <v>5569</v>
      </c>
      <c r="D41" s="20">
        <f>D39+D40+222+494+91</f>
        <v>5588</v>
      </c>
      <c r="E41" s="20">
        <f>E39+E40+222+493+104</f>
        <v>5490</v>
      </c>
      <c r="F41" s="20">
        <f>F39+F40+222+493+106</f>
        <v>5413</v>
      </c>
      <c r="G41" s="20">
        <f t="shared" si="16"/>
        <v>5658</v>
      </c>
      <c r="H41" s="20">
        <f t="shared" si="16"/>
        <v>5658</v>
      </c>
      <c r="I41" s="20">
        <f t="shared" si="17"/>
        <v>5658</v>
      </c>
      <c r="J41" s="20">
        <f>J39+J40+1278+725+255</f>
        <v>5658</v>
      </c>
      <c r="K41" s="20">
        <v>1694</v>
      </c>
      <c r="L41" s="20">
        <v>1611</v>
      </c>
      <c r="M41" s="20"/>
      <c r="N41" s="20"/>
      <c r="O41" s="20"/>
      <c r="Q41" s="58"/>
    </row>
    <row r="42" spans="1:18" s="35" customFormat="1">
      <c r="A42" s="34" t="s">
        <v>73</v>
      </c>
      <c r="B42" s="36">
        <v>1059.79</v>
      </c>
      <c r="C42" s="36">
        <v>1382.4640000000002</v>
      </c>
      <c r="D42" s="36">
        <v>776.64</v>
      </c>
      <c r="E42" s="36">
        <v>1068.6890000000001</v>
      </c>
      <c r="F42" s="36">
        <v>1652.28</v>
      </c>
      <c r="G42" s="36">
        <f>(57086965+23793669)/1000000*35.02</f>
        <v>2832.4398026800004</v>
      </c>
      <c r="H42" s="36">
        <f t="shared" si="16"/>
        <v>3696.3220087499994</v>
      </c>
      <c r="I42" s="36">
        <f t="shared" si="17"/>
        <v>3696.3220087499994</v>
      </c>
      <c r="J42" s="36">
        <f>(51.424625+5.65+23.79)*45.71</f>
        <v>3696.3220087499994</v>
      </c>
      <c r="K42" s="36">
        <v>3047.9808995999997</v>
      </c>
      <c r="L42" s="36">
        <v>2833.1078059500001</v>
      </c>
      <c r="M42" s="36"/>
      <c r="N42" s="36"/>
      <c r="O42" s="36"/>
      <c r="Q42" s="93"/>
    </row>
    <row r="43" spans="1:18">
      <c r="K43" s="35"/>
      <c r="L43" s="35"/>
      <c r="P43" s="79"/>
      <c r="Q43" s="33"/>
    </row>
    <row r="44" spans="1:18">
      <c r="A44" s="19" t="s">
        <v>74</v>
      </c>
      <c r="B44" s="28">
        <v>564</v>
      </c>
      <c r="C44" s="28">
        <v>395</v>
      </c>
      <c r="D44" s="28">
        <v>390</v>
      </c>
      <c r="E44" s="28">
        <v>363</v>
      </c>
      <c r="F44" s="28">
        <v>702</v>
      </c>
      <c r="G44" s="28">
        <f>I44</f>
        <v>778</v>
      </c>
      <c r="H44" s="28">
        <f>J44</f>
        <v>778</v>
      </c>
      <c r="I44" s="28">
        <f>J44</f>
        <v>778</v>
      </c>
      <c r="J44" s="28">
        <v>778</v>
      </c>
      <c r="K44" s="28">
        <v>277</v>
      </c>
      <c r="L44" s="28">
        <v>333</v>
      </c>
      <c r="M44" s="28"/>
      <c r="N44" s="28"/>
      <c r="O44" s="28"/>
      <c r="P44" s="94"/>
      <c r="Q44" s="33"/>
    </row>
    <row r="45" spans="1:18">
      <c r="P45" s="79"/>
    </row>
    <row r="46" spans="1:18">
      <c r="A46" s="14" t="s">
        <v>75</v>
      </c>
      <c r="B46" s="58">
        <f>C46+B12-F12</f>
        <v>17511</v>
      </c>
      <c r="C46" s="51">
        <v>17646</v>
      </c>
      <c r="D46" s="58">
        <f>(D12+E12+F12)/3*4</f>
        <v>17688</v>
      </c>
      <c r="E46" s="58">
        <f>(E12+F12)*2</f>
        <v>17524</v>
      </c>
      <c r="F46" s="51">
        <f>F12*4</f>
        <v>17112</v>
      </c>
      <c r="G46" s="58">
        <f t="shared" ref="G46:H48" si="18">I46</f>
        <v>17098</v>
      </c>
      <c r="H46" s="58">
        <f t="shared" si="18"/>
        <v>17098</v>
      </c>
      <c r="I46" s="58">
        <f t="shared" ref="I46:I48" si="19">J46</f>
        <v>17098</v>
      </c>
      <c r="J46" s="51">
        <v>17098</v>
      </c>
      <c r="K46" s="33">
        <f>SUM(K12:N12)</f>
        <v>9038</v>
      </c>
      <c r="L46" s="33">
        <f>SUM(L12:O12)</f>
        <v>8860</v>
      </c>
      <c r="M46" s="33"/>
      <c r="N46" s="33"/>
      <c r="P46" s="58"/>
    </row>
    <row r="47" spans="1:18">
      <c r="A47" s="14" t="s">
        <v>76</v>
      </c>
      <c r="B47" s="58">
        <f>B27</f>
        <v>1442</v>
      </c>
      <c r="C47" s="51">
        <v>1535</v>
      </c>
      <c r="D47" s="51">
        <v>1514</v>
      </c>
      <c r="E47" s="51">
        <v>1542</v>
      </c>
      <c r="F47" s="51">
        <f>F22*4</f>
        <v>1604</v>
      </c>
      <c r="G47" s="58">
        <f t="shared" si="18"/>
        <v>1620</v>
      </c>
      <c r="H47" s="58">
        <f t="shared" si="18"/>
        <v>1620</v>
      </c>
      <c r="I47" s="58">
        <f t="shared" si="19"/>
        <v>1620</v>
      </c>
      <c r="J47" s="51">
        <v>1620</v>
      </c>
      <c r="K47" s="33">
        <f>+K27</f>
        <v>857</v>
      </c>
      <c r="L47" s="33">
        <f>+L27</f>
        <v>857</v>
      </c>
      <c r="M47" s="33"/>
      <c r="N47" s="33"/>
      <c r="P47" s="58"/>
    </row>
    <row r="48" spans="1:18">
      <c r="A48" s="14" t="s">
        <v>77</v>
      </c>
      <c r="B48" s="58">
        <f>C48+B37-F37</f>
        <v>480.61000000000013</v>
      </c>
      <c r="C48" s="51">
        <v>453.61000000000013</v>
      </c>
      <c r="D48" s="51">
        <v>333.53999999999996</v>
      </c>
      <c r="E48" s="58">
        <f>E47*F48/F47</f>
        <v>576.80798004987537</v>
      </c>
      <c r="F48" s="51">
        <f>F37*4</f>
        <v>600</v>
      </c>
      <c r="G48" s="58">
        <f t="shared" si="18"/>
        <v>409.23532150000005</v>
      </c>
      <c r="H48" s="58">
        <f t="shared" si="18"/>
        <v>409.23532150000005</v>
      </c>
      <c r="I48" s="58">
        <f t="shared" si="19"/>
        <v>409.23532150000005</v>
      </c>
      <c r="J48" s="51">
        <v>409.23532150000005</v>
      </c>
      <c r="K48" s="33">
        <f>+SUM(K37:N37)</f>
        <v>18</v>
      </c>
      <c r="L48" s="33">
        <f>+SUM(L37:O37)</f>
        <v>120</v>
      </c>
      <c r="M48" s="33"/>
      <c r="N48" s="33"/>
      <c r="P48" s="58"/>
    </row>
    <row r="49" spans="1:16">
      <c r="P49" s="79"/>
    </row>
    <row r="50" spans="1:16" s="37" customFormat="1">
      <c r="A50" s="37" t="s">
        <v>78</v>
      </c>
      <c r="B50" s="37">
        <f t="shared" ref="B50" si="20">+SUM(B39:B40)/B47</f>
        <v>3.2219140083217752</v>
      </c>
      <c r="C50" s="37">
        <f t="shared" ref="C50:D50" si="21">+SUM(C39:C40)/C47</f>
        <v>3.0501628664495115</v>
      </c>
      <c r="D50" s="37">
        <f t="shared" si="21"/>
        <v>3.1578599735799209</v>
      </c>
      <c r="E50" s="37">
        <f t="shared" ref="E50:F50" si="22">+SUM(E39:E40)/E47</f>
        <v>3.0291828793774318</v>
      </c>
      <c r="F50" s="37">
        <f t="shared" si="22"/>
        <v>2.86284289276808</v>
      </c>
      <c r="G50" s="37">
        <f t="shared" ref="G50:L50" si="23">+SUM(G39:G40)/G47</f>
        <v>2.0987654320987654</v>
      </c>
      <c r="H50" s="37">
        <f t="shared" si="23"/>
        <v>2.0987654320987654</v>
      </c>
      <c r="I50" s="37">
        <f t="shared" si="23"/>
        <v>2.0987654320987654</v>
      </c>
      <c r="J50" s="37">
        <f t="shared" si="23"/>
        <v>2.0987654320987654</v>
      </c>
      <c r="K50" s="37">
        <f t="shared" si="23"/>
        <v>0.98949824970828471</v>
      </c>
      <c r="L50" s="37">
        <f t="shared" si="23"/>
        <v>0.89381563593932323</v>
      </c>
      <c r="P50" s="95"/>
    </row>
    <row r="51" spans="1:16" s="37" customFormat="1">
      <c r="A51" s="37" t="s">
        <v>79</v>
      </c>
      <c r="B51" s="37">
        <f t="shared" ref="B51" si="24">+B41/B47</f>
        <v>3.8529819694868239</v>
      </c>
      <c r="C51" s="37">
        <f t="shared" ref="C51:D51" si="25">+C41/C47</f>
        <v>3.6280130293159609</v>
      </c>
      <c r="D51" s="37">
        <f t="shared" si="25"/>
        <v>3.690885072655218</v>
      </c>
      <c r="E51" s="37">
        <f t="shared" ref="E51:F51" si="26">+E41/E47</f>
        <v>3.5603112840466924</v>
      </c>
      <c r="F51" s="37">
        <f t="shared" si="26"/>
        <v>3.3746882793017456</v>
      </c>
      <c r="G51" s="37">
        <f t="shared" ref="G51:L51" si="27">+G41/G47</f>
        <v>3.4925925925925925</v>
      </c>
      <c r="H51" s="37">
        <f t="shared" si="27"/>
        <v>3.4925925925925925</v>
      </c>
      <c r="I51" s="37">
        <f t="shared" si="27"/>
        <v>3.4925925925925925</v>
      </c>
      <c r="J51" s="37">
        <f t="shared" si="27"/>
        <v>3.4925925925925925</v>
      </c>
      <c r="K51" s="37">
        <f t="shared" si="27"/>
        <v>1.9766627771295215</v>
      </c>
      <c r="L51" s="37">
        <f t="shared" si="27"/>
        <v>1.8798133022170362</v>
      </c>
      <c r="P51" s="95"/>
    </row>
    <row r="52" spans="1:16" s="37" customFormat="1">
      <c r="A52" s="37" t="s">
        <v>80</v>
      </c>
      <c r="B52" s="37">
        <f t="shared" ref="B52" si="28">+(B41-B44)/B47</f>
        <v>3.4618585298196947</v>
      </c>
      <c r="C52" s="37">
        <f t="shared" ref="C52:D52" si="29">+(C41-C44)/C47</f>
        <v>3.3706840390879478</v>
      </c>
      <c r="D52" s="37">
        <f t="shared" si="29"/>
        <v>3.4332892998678997</v>
      </c>
      <c r="E52" s="37">
        <f t="shared" ref="E52:F52" si="30">+(E41-E44)/E47</f>
        <v>3.3249027237354087</v>
      </c>
      <c r="F52" s="37">
        <f t="shared" si="30"/>
        <v>2.9370324189526182</v>
      </c>
      <c r="G52" s="37">
        <f t="shared" ref="G52:L52" si="31">+(G41-G44)/G47</f>
        <v>3.0123456790123457</v>
      </c>
      <c r="H52" s="37">
        <f t="shared" si="31"/>
        <v>3.0123456790123457</v>
      </c>
      <c r="I52" s="37">
        <f t="shared" si="31"/>
        <v>3.0123456790123457</v>
      </c>
      <c r="J52" s="37">
        <f t="shared" si="31"/>
        <v>3.0123456790123457</v>
      </c>
      <c r="K52" s="37">
        <f t="shared" si="31"/>
        <v>1.6534422403733955</v>
      </c>
      <c r="L52" s="37">
        <f t="shared" si="31"/>
        <v>1.4912485414235706</v>
      </c>
      <c r="P52" s="95"/>
    </row>
    <row r="53" spans="1:16" s="38" customFormat="1">
      <c r="A53" s="38" t="s">
        <v>81</v>
      </c>
      <c r="B53" s="38">
        <f t="shared" ref="B53" si="32">+B48/B41</f>
        <v>8.6502879769618457E-2</v>
      </c>
      <c r="C53" s="38">
        <f t="shared" ref="C53:D53" si="33">+C48/C41</f>
        <v>8.1452684503501543E-2</v>
      </c>
      <c r="D53" s="38">
        <f t="shared" si="33"/>
        <v>5.9688618468146021E-2</v>
      </c>
      <c r="E53" s="38">
        <f t="shared" ref="E53:F53" si="34">+E48/E41</f>
        <v>0.10506520583786437</v>
      </c>
      <c r="F53" s="38">
        <f t="shared" si="34"/>
        <v>0.11084426380934786</v>
      </c>
      <c r="G53" s="38">
        <f t="shared" ref="G53:L53" si="35">+G48/G41</f>
        <v>7.2328618151290214E-2</v>
      </c>
      <c r="H53" s="38">
        <f t="shared" si="35"/>
        <v>7.2328618151290214E-2</v>
      </c>
      <c r="I53" s="38">
        <f t="shared" si="35"/>
        <v>7.2328618151290214E-2</v>
      </c>
      <c r="J53" s="38">
        <f t="shared" si="35"/>
        <v>7.2328618151290214E-2</v>
      </c>
      <c r="K53" s="38">
        <f t="shared" si="35"/>
        <v>1.0625737898465172E-2</v>
      </c>
      <c r="L53" s="38">
        <f t="shared" si="35"/>
        <v>7.4487895716946001E-2</v>
      </c>
      <c r="P53" s="96"/>
    </row>
    <row r="54" spans="1:16" s="38" customFormat="1">
      <c r="A54" s="39" t="s">
        <v>82</v>
      </c>
      <c r="B54" s="40"/>
      <c r="C54" s="40"/>
      <c r="D54" s="40"/>
      <c r="E54" s="40"/>
      <c r="F54" s="40"/>
      <c r="G54" s="40"/>
      <c r="H54" s="40"/>
      <c r="I54" s="40"/>
      <c r="J54" s="40"/>
      <c r="K54" s="40"/>
      <c r="L54" s="40"/>
      <c r="M54" s="40"/>
      <c r="N54" s="40"/>
      <c r="O54" s="39"/>
      <c r="P54" s="95"/>
    </row>
    <row r="55" spans="1:16" s="38" customFormat="1">
      <c r="A55" s="38" t="s">
        <v>83</v>
      </c>
      <c r="B55" s="41">
        <f t="shared" ref="B55" si="36">IF(B42=0,IF(B54="","","*"&amp;TEXT(B54,"0.0x")),(B41+B42-B44)/B47)</f>
        <v>4.1968030513176142</v>
      </c>
      <c r="C55" s="41">
        <f t="shared" ref="C55:D55" si="37">IF(C42=0,IF(C54="","","*"&amp;TEXT(C54,"0.0x")),(C41+C42-C44)/C47)</f>
        <v>4.2713120521172634</v>
      </c>
      <c r="D55" s="41">
        <f t="shared" si="37"/>
        <v>3.9462615587846765</v>
      </c>
      <c r="E55" s="41">
        <f t="shared" ref="E55:F55" si="38">IF(E42=0,IF(E54="","","*"&amp;TEXT(E54,"0.0x")),(E41+E42-E44)/E47)</f>
        <v>4.0179565499351497</v>
      </c>
      <c r="F55" s="41">
        <f t="shared" si="38"/>
        <v>3.9671321695760597</v>
      </c>
      <c r="G55" s="41">
        <f t="shared" ref="G55:L55" si="39">IF(G42=0,IF(G54="","","*"&amp;TEXT(G54,"0.0x")),(G41+G42-G44)/G47)</f>
        <v>4.7607653102962972</v>
      </c>
      <c r="H55" s="41">
        <f t="shared" si="39"/>
        <v>5.2940259313271598</v>
      </c>
      <c r="I55" s="41">
        <f t="shared" si="39"/>
        <v>5.2940259313271598</v>
      </c>
      <c r="J55" s="41">
        <f t="shared" si="39"/>
        <v>5.2940259313271598</v>
      </c>
      <c r="K55" s="41">
        <f t="shared" si="39"/>
        <v>5.2100127183197191</v>
      </c>
      <c r="L55" s="41">
        <f t="shared" si="39"/>
        <v>4.7970919556009326</v>
      </c>
      <c r="M55" s="41"/>
      <c r="N55" s="41"/>
      <c r="O55" s="41"/>
      <c r="P55" s="97"/>
    </row>
    <row r="56" spans="1:16">
      <c r="N56" s="42"/>
    </row>
    <row r="57" spans="1:16" ht="80.25" customHeight="1">
      <c r="A57" s="43" t="s">
        <v>84</v>
      </c>
      <c r="B57" s="44" t="s">
        <v>90</v>
      </c>
      <c r="C57" s="44" t="s">
        <v>90</v>
      </c>
      <c r="D57" s="44" t="s">
        <v>90</v>
      </c>
      <c r="E57" s="44" t="s">
        <v>433</v>
      </c>
      <c r="F57" s="44" t="s">
        <v>414</v>
      </c>
      <c r="G57" s="44" t="s">
        <v>303</v>
      </c>
      <c r="H57" s="44" t="s">
        <v>303</v>
      </c>
      <c r="I57" s="44" t="s">
        <v>303</v>
      </c>
      <c r="J57" s="44" t="s">
        <v>303</v>
      </c>
      <c r="K57" s="44" t="s">
        <v>90</v>
      </c>
      <c r="L57" s="44" t="s">
        <v>90</v>
      </c>
      <c r="M57" s="44"/>
      <c r="N57" s="44"/>
      <c r="O57" s="44"/>
    </row>
    <row r="58" spans="1:16">
      <c r="A58" s="45"/>
      <c r="B58" s="42"/>
      <c r="C58" s="42"/>
      <c r="D58" s="42"/>
      <c r="E58" s="42"/>
      <c r="F58" s="42"/>
      <c r="G58" s="42"/>
      <c r="H58" s="42"/>
      <c r="I58" s="42"/>
      <c r="J58" s="42"/>
    </row>
    <row r="59" spans="1:16">
      <c r="A59" s="45"/>
    </row>
  </sheetData>
  <pageMargins left="0.7" right="0.7" top="0.75" bottom="0.75" header="0.3" footer="0.3"/>
  <pageSetup orientation="portrait" r:id="rId1"/>
  <ignoredErrors>
    <ignoredError sqref="F50 E24:L26 D24:D26 B27:D27 B24:C26 K46:L51" formulaRange="1"/>
  </ignoredErrors>
  <legacyDrawing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2:Y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4" width="10.6640625" style="14" customWidth="1"/>
    <col min="15" max="16384" width="9.109375" style="14"/>
  </cols>
  <sheetData>
    <row r="2" spans="1:14">
      <c r="A2" s="13" t="s">
        <v>44</v>
      </c>
      <c r="B2" s="14" t="s">
        <v>155</v>
      </c>
    </row>
    <row r="3" spans="1:14" s="16" customFormat="1">
      <c r="A3" s="15" t="s">
        <v>45</v>
      </c>
      <c r="B3" s="16" t="s">
        <v>99</v>
      </c>
    </row>
    <row r="4" spans="1:14">
      <c r="A4" s="13" t="s">
        <v>2</v>
      </c>
      <c r="B4" s="14" t="s">
        <v>493</v>
      </c>
    </row>
    <row r="5" spans="1:14">
      <c r="A5" s="13" t="s">
        <v>46</v>
      </c>
    </row>
    <row r="6" spans="1:14">
      <c r="A6" s="13" t="s">
        <v>47</v>
      </c>
    </row>
    <row r="7" spans="1:14">
      <c r="A7" s="13" t="s">
        <v>48</v>
      </c>
      <c r="B7" s="14" t="e">
        <v>#N/A</v>
      </c>
    </row>
    <row r="8" spans="1:14">
      <c r="A8" s="13" t="s">
        <v>347</v>
      </c>
      <c r="B8" s="14" t="e">
        <v>#N/A</v>
      </c>
    </row>
    <row r="9" spans="1:14">
      <c r="A9" s="17"/>
    </row>
    <row r="10" spans="1:14">
      <c r="A10" s="17" t="s">
        <v>49</v>
      </c>
      <c r="B10" s="18">
        <v>44286</v>
      </c>
      <c r="C10" s="18">
        <v>44196</v>
      </c>
      <c r="D10" s="18">
        <v>44104</v>
      </c>
      <c r="E10" s="18">
        <f t="shared" ref="E10:N10" si="0">EOMONTH(D10,-3)</f>
        <v>44012</v>
      </c>
      <c r="F10" s="18">
        <f t="shared" si="0"/>
        <v>43921</v>
      </c>
      <c r="G10" s="18">
        <f t="shared" si="0"/>
        <v>43830</v>
      </c>
      <c r="H10" s="18">
        <f t="shared" si="0"/>
        <v>43738</v>
      </c>
      <c r="I10" s="18">
        <f t="shared" si="0"/>
        <v>43646</v>
      </c>
      <c r="J10" s="18">
        <f t="shared" si="0"/>
        <v>43555</v>
      </c>
      <c r="K10" s="18">
        <f t="shared" si="0"/>
        <v>43465</v>
      </c>
      <c r="L10" s="18">
        <f t="shared" si="0"/>
        <v>43373</v>
      </c>
      <c r="M10" s="18">
        <f t="shared" si="0"/>
        <v>43281</v>
      </c>
      <c r="N10" s="18">
        <f t="shared" si="0"/>
        <v>43190</v>
      </c>
    </row>
    <row r="12" spans="1:14">
      <c r="A12" s="19" t="s">
        <v>50</v>
      </c>
      <c r="B12" s="20">
        <v>126.624</v>
      </c>
      <c r="C12" s="20">
        <v>281.5</v>
      </c>
      <c r="D12" s="20">
        <v>380.3</v>
      </c>
      <c r="E12" s="20">
        <v>359.5</v>
      </c>
      <c r="F12" s="20">
        <v>361.59800000000001</v>
      </c>
      <c r="G12" s="20">
        <v>352.40400000000028</v>
      </c>
      <c r="H12" s="20">
        <v>423.8</v>
      </c>
      <c r="I12" s="20">
        <v>431.67500000000001</v>
      </c>
      <c r="J12" s="20">
        <v>359.22099999999995</v>
      </c>
      <c r="K12" s="20">
        <v>380.09000000000009</v>
      </c>
      <c r="L12" s="20">
        <v>427.2</v>
      </c>
      <c r="M12" s="20">
        <v>434.71300000000002</v>
      </c>
      <c r="N12" s="20">
        <v>366.19699999999995</v>
      </c>
    </row>
    <row r="13" spans="1:14" s="21" customFormat="1">
      <c r="A13" s="21" t="s">
        <v>51</v>
      </c>
      <c r="B13" s="151">
        <f>+B12/125.554-1</f>
        <v>8.5222294789493169E-3</v>
      </c>
      <c r="C13" s="151">
        <f>C12/283.5-1</f>
        <v>-7.0546737213403876E-3</v>
      </c>
      <c r="D13" s="21">
        <f t="shared" ref="D13:J13" si="1">+D12/H12-1</f>
        <v>-0.10264275601698913</v>
      </c>
      <c r="E13" s="21">
        <f t="shared" si="1"/>
        <v>-0.16719754444894885</v>
      </c>
      <c r="F13" s="21">
        <f t="shared" si="1"/>
        <v>6.6170964392395781E-3</v>
      </c>
      <c r="G13" s="21">
        <f t="shared" si="1"/>
        <v>-7.2840643005603445E-2</v>
      </c>
      <c r="H13" s="21">
        <f t="shared" si="1"/>
        <v>-7.9588014981273325E-3</v>
      </c>
      <c r="I13" s="21">
        <f t="shared" si="1"/>
        <v>-6.9885188618697969E-3</v>
      </c>
      <c r="J13" s="21">
        <f t="shared" si="1"/>
        <v>-1.9049855678774041E-2</v>
      </c>
    </row>
    <row r="14" spans="1:14" s="24" customFormat="1">
      <c r="A14" s="22" t="s">
        <v>52</v>
      </c>
      <c r="B14" s="23" t="s">
        <v>3</v>
      </c>
      <c r="C14" s="23" t="s">
        <v>3</v>
      </c>
      <c r="D14" s="23" t="s">
        <v>3</v>
      </c>
      <c r="E14" s="23" t="s">
        <v>3</v>
      </c>
      <c r="F14" s="23" t="s">
        <v>3</v>
      </c>
      <c r="G14" s="23" t="s">
        <v>3</v>
      </c>
      <c r="H14" s="23" t="s">
        <v>3</v>
      </c>
      <c r="I14" s="23" t="s">
        <v>3</v>
      </c>
      <c r="J14" s="23" t="s">
        <v>3</v>
      </c>
      <c r="K14" s="22"/>
      <c r="L14" s="22"/>
      <c r="M14" s="22"/>
      <c r="N14" s="22"/>
    </row>
    <row r="16" spans="1:14" s="17" customFormat="1">
      <c r="A16" s="25" t="s">
        <v>53</v>
      </c>
      <c r="B16" s="26">
        <v>51.470999999999997</v>
      </c>
      <c r="C16" s="26">
        <v>81.8</v>
      </c>
      <c r="D16" s="26">
        <v>108.6</v>
      </c>
      <c r="E16" s="26">
        <v>113.00000000000001</v>
      </c>
      <c r="F16" s="26">
        <v>103.07569999999998</v>
      </c>
      <c r="G16" s="26">
        <v>103.00600000000026</v>
      </c>
      <c r="H16" s="26">
        <v>137.80000000000004</v>
      </c>
      <c r="I16" s="26">
        <v>132.453</v>
      </c>
      <c r="J16" s="26">
        <v>101.04099999999995</v>
      </c>
      <c r="K16" s="26">
        <v>109.18400000000007</v>
      </c>
      <c r="L16" s="26">
        <v>118.1</v>
      </c>
      <c r="M16" s="26">
        <v>128.88499999999999</v>
      </c>
      <c r="N16" s="26">
        <v>107.89499999999998</v>
      </c>
    </row>
    <row r="17" spans="1:25" s="21" customFormat="1">
      <c r="A17" s="21" t="s">
        <v>54</v>
      </c>
      <c r="B17" s="21">
        <f t="shared" ref="B17:G17" si="2">+B16/B12</f>
        <v>0.40648692191053826</v>
      </c>
      <c r="C17" s="21">
        <f t="shared" si="2"/>
        <v>0.29058614564831259</v>
      </c>
      <c r="D17" s="21">
        <f t="shared" si="2"/>
        <v>0.28556402839863265</v>
      </c>
      <c r="E17" s="21">
        <f t="shared" si="2"/>
        <v>0.31432545201668988</v>
      </c>
      <c r="F17" s="21">
        <f t="shared" si="2"/>
        <v>0.28505605672597739</v>
      </c>
      <c r="G17" s="21">
        <f t="shared" si="2"/>
        <v>0.29229520663783659</v>
      </c>
      <c r="H17" s="21">
        <f t="shared" ref="H17:N17" si="3">+H16/H12</f>
        <v>0.3251533742331289</v>
      </c>
      <c r="I17" s="21">
        <f t="shared" si="3"/>
        <v>0.30683500318526669</v>
      </c>
      <c r="J17" s="21">
        <f t="shared" si="3"/>
        <v>0.28127809899755296</v>
      </c>
      <c r="K17" s="21">
        <f t="shared" si="3"/>
        <v>0.28725828093346323</v>
      </c>
      <c r="L17" s="21">
        <f t="shared" si="3"/>
        <v>0.27645131086142322</v>
      </c>
      <c r="M17" s="21">
        <f t="shared" si="3"/>
        <v>0.29648296692300435</v>
      </c>
      <c r="N17" s="21">
        <f t="shared" si="3"/>
        <v>0.29463649347209286</v>
      </c>
    </row>
    <row r="18" spans="1:25" s="24" customFormat="1"/>
    <row r="19" spans="1:25" s="24" customFormat="1">
      <c r="A19" s="19" t="s">
        <v>55</v>
      </c>
      <c r="B19" s="20">
        <v>0</v>
      </c>
      <c r="C19" s="20">
        <v>0</v>
      </c>
      <c r="D19" s="20">
        <v>0</v>
      </c>
      <c r="E19" s="20">
        <v>0</v>
      </c>
      <c r="F19" s="20">
        <v>0</v>
      </c>
      <c r="G19" s="20">
        <v>0</v>
      </c>
      <c r="H19" s="20">
        <v>0</v>
      </c>
      <c r="I19" s="20">
        <v>0</v>
      </c>
      <c r="J19" s="20">
        <v>0</v>
      </c>
      <c r="K19" s="20">
        <v>0</v>
      </c>
      <c r="L19" s="20">
        <v>0</v>
      </c>
      <c r="M19" s="20">
        <v>0</v>
      </c>
      <c r="N19" s="20">
        <v>0</v>
      </c>
    </row>
    <row r="20" spans="1:25" s="24" customFormat="1">
      <c r="A20" s="19" t="s">
        <v>56</v>
      </c>
      <c r="B20" s="20">
        <v>0</v>
      </c>
      <c r="C20" s="20">
        <v>0</v>
      </c>
      <c r="D20" s="20">
        <v>0</v>
      </c>
      <c r="E20" s="20">
        <v>0</v>
      </c>
      <c r="F20" s="20">
        <v>0</v>
      </c>
      <c r="G20" s="20">
        <v>0</v>
      </c>
      <c r="H20" s="20">
        <v>0</v>
      </c>
      <c r="I20" s="20">
        <v>0</v>
      </c>
      <c r="J20" s="20">
        <v>0</v>
      </c>
      <c r="K20" s="20">
        <v>0</v>
      </c>
      <c r="L20" s="20">
        <v>0</v>
      </c>
      <c r="M20" s="20">
        <v>0</v>
      </c>
      <c r="N20" s="20">
        <v>0</v>
      </c>
    </row>
    <row r="21" spans="1:25" s="24" customFormat="1">
      <c r="A21" s="19" t="s">
        <v>57</v>
      </c>
      <c r="B21" s="20">
        <v>0</v>
      </c>
      <c r="C21" s="20">
        <v>0</v>
      </c>
      <c r="D21" s="20">
        <v>0</v>
      </c>
      <c r="E21" s="20">
        <v>0</v>
      </c>
      <c r="F21" s="20">
        <v>0</v>
      </c>
      <c r="G21" s="20">
        <v>0</v>
      </c>
      <c r="H21" s="20">
        <v>0</v>
      </c>
      <c r="I21" s="20">
        <v>0</v>
      </c>
      <c r="J21" s="20">
        <v>0</v>
      </c>
      <c r="K21" s="20">
        <v>0</v>
      </c>
      <c r="L21" s="20">
        <v>0</v>
      </c>
      <c r="M21" s="20">
        <v>0</v>
      </c>
      <c r="N21" s="20">
        <v>0</v>
      </c>
    </row>
    <row r="22" spans="1:25" s="17" customFormat="1">
      <c r="A22" s="17" t="s">
        <v>58</v>
      </c>
      <c r="B22" s="27">
        <f>B16+B19+B20+B21</f>
        <v>51.470999999999997</v>
      </c>
      <c r="C22" s="27">
        <f>C16+C19+C20+C21</f>
        <v>81.8</v>
      </c>
      <c r="D22" s="27">
        <f>D16+D19+D20+D21</f>
        <v>108.6</v>
      </c>
      <c r="E22" s="27">
        <f>E16+E19+E20+E21</f>
        <v>113.00000000000001</v>
      </c>
      <c r="F22" s="27">
        <f>F16+F19+F20+F21</f>
        <v>103.07569999999998</v>
      </c>
      <c r="G22" s="27">
        <f t="shared" ref="G22:N22" si="4">G16+G19+G20+G21</f>
        <v>103.00600000000026</v>
      </c>
      <c r="H22" s="27">
        <f t="shared" si="4"/>
        <v>137.80000000000004</v>
      </c>
      <c r="I22" s="27">
        <f t="shared" si="4"/>
        <v>132.453</v>
      </c>
      <c r="J22" s="27">
        <f t="shared" si="4"/>
        <v>101.04099999999995</v>
      </c>
      <c r="K22" s="27">
        <f t="shared" si="4"/>
        <v>109.18400000000007</v>
      </c>
      <c r="L22" s="27">
        <f t="shared" si="4"/>
        <v>118.1</v>
      </c>
      <c r="M22" s="27">
        <f t="shared" si="4"/>
        <v>128.88499999999999</v>
      </c>
      <c r="N22" s="27">
        <f t="shared" si="4"/>
        <v>107.89499999999998</v>
      </c>
    </row>
    <row r="23" spans="1:25" s="17" customFormat="1">
      <c r="B23" s="27"/>
      <c r="C23" s="27"/>
      <c r="D23" s="27"/>
      <c r="E23" s="27"/>
      <c r="F23" s="27"/>
      <c r="G23" s="27"/>
      <c r="H23" s="27"/>
      <c r="I23" s="27"/>
      <c r="J23" s="27"/>
      <c r="K23" s="27"/>
      <c r="L23" s="27"/>
      <c r="M23" s="27"/>
      <c r="N23" s="27"/>
    </row>
    <row r="24" spans="1:25" s="17" customFormat="1">
      <c r="A24" s="17" t="s">
        <v>59</v>
      </c>
      <c r="B24" s="46">
        <f>C24+B22-59.85</f>
        <v>329.62099999999998</v>
      </c>
      <c r="C24" s="46">
        <v>338</v>
      </c>
      <c r="D24" s="27">
        <f t="shared" ref="D24:J24" si="5">SUM(D22:G22)</f>
        <v>427.68170000000026</v>
      </c>
      <c r="E24" s="27">
        <f t="shared" si="5"/>
        <v>456.88170000000025</v>
      </c>
      <c r="F24" s="27">
        <f t="shared" si="5"/>
        <v>476.33470000000023</v>
      </c>
      <c r="G24" s="27">
        <f t="shared" si="5"/>
        <v>474.30000000000024</v>
      </c>
      <c r="H24" s="27">
        <f t="shared" si="5"/>
        <v>480.47800000000007</v>
      </c>
      <c r="I24" s="27">
        <f t="shared" si="5"/>
        <v>460.77800000000002</v>
      </c>
      <c r="J24" s="27">
        <f t="shared" si="5"/>
        <v>457.21000000000004</v>
      </c>
      <c r="K24" s="27"/>
      <c r="L24" s="27"/>
      <c r="M24" s="27"/>
      <c r="N24" s="27"/>
    </row>
    <row r="25" spans="1:25" s="24" customFormat="1">
      <c r="A25" s="19" t="s">
        <v>60</v>
      </c>
      <c r="B25" s="28">
        <v>0</v>
      </c>
      <c r="C25" s="28">
        <v>0</v>
      </c>
      <c r="D25" s="28">
        <v>0</v>
      </c>
      <c r="E25" s="28">
        <v>0</v>
      </c>
      <c r="F25" s="28">
        <v>0</v>
      </c>
      <c r="G25" s="28">
        <v>0</v>
      </c>
      <c r="H25" s="28">
        <v>0</v>
      </c>
      <c r="I25" s="28">
        <v>0</v>
      </c>
      <c r="J25" s="28">
        <v>0</v>
      </c>
      <c r="K25" s="28"/>
      <c r="L25" s="28"/>
      <c r="M25" s="28"/>
      <c r="N25" s="28"/>
      <c r="Q25" s="17"/>
      <c r="R25" s="17"/>
      <c r="S25" s="17"/>
      <c r="T25" s="17"/>
      <c r="U25" s="17"/>
      <c r="V25" s="17"/>
      <c r="W25" s="17"/>
      <c r="X25" s="17"/>
      <c r="Y25" s="17"/>
    </row>
    <row r="26" spans="1:25" s="24" customFormat="1">
      <c r="A26" s="19" t="s">
        <v>61</v>
      </c>
      <c r="B26" s="29">
        <v>0</v>
      </c>
      <c r="C26" s="29">
        <v>0</v>
      </c>
      <c r="D26" s="29">
        <v>0</v>
      </c>
      <c r="E26" s="29">
        <v>0</v>
      </c>
      <c r="F26" s="29">
        <v>0</v>
      </c>
      <c r="G26" s="29">
        <v>0</v>
      </c>
      <c r="H26" s="29">
        <v>0</v>
      </c>
      <c r="I26" s="29">
        <v>0</v>
      </c>
      <c r="J26" s="29">
        <v>0</v>
      </c>
      <c r="K26" s="29"/>
      <c r="L26" s="30"/>
      <c r="M26" s="30"/>
      <c r="N26" s="30"/>
      <c r="Q26" s="21"/>
      <c r="R26" s="21"/>
      <c r="S26" s="21"/>
      <c r="T26" s="21"/>
      <c r="U26" s="21"/>
      <c r="V26" s="21"/>
      <c r="W26" s="21"/>
      <c r="X26" s="21"/>
      <c r="Y26" s="21"/>
    </row>
    <row r="27" spans="1:25" s="32" customFormat="1">
      <c r="A27" s="17" t="s">
        <v>62</v>
      </c>
      <c r="B27" s="27">
        <f t="shared" ref="B27:C27" si="6">SUM(B24:B26)</f>
        <v>329.62099999999998</v>
      </c>
      <c r="C27" s="27">
        <f t="shared" si="6"/>
        <v>338</v>
      </c>
      <c r="D27" s="27">
        <f t="shared" ref="D27:E27" si="7">SUM(D24:D26)</f>
        <v>427.68170000000026</v>
      </c>
      <c r="E27" s="27">
        <f t="shared" si="7"/>
        <v>456.88170000000025</v>
      </c>
      <c r="F27" s="27">
        <f t="shared" ref="F27:J27" si="8">SUM(F24:F26)</f>
        <v>476.33470000000023</v>
      </c>
      <c r="G27" s="27">
        <f t="shared" si="8"/>
        <v>474.30000000000024</v>
      </c>
      <c r="H27" s="27">
        <f t="shared" si="8"/>
        <v>480.47800000000007</v>
      </c>
      <c r="I27" s="27">
        <f t="shared" si="8"/>
        <v>460.77800000000002</v>
      </c>
      <c r="J27" s="27">
        <f t="shared" si="8"/>
        <v>457.21000000000004</v>
      </c>
      <c r="K27" s="27"/>
      <c r="L27" s="31"/>
      <c r="M27" s="31"/>
      <c r="N27" s="31"/>
      <c r="Q27" s="24"/>
      <c r="R27" s="24"/>
      <c r="S27" s="24"/>
      <c r="T27" s="24"/>
      <c r="U27" s="24"/>
      <c r="V27" s="24"/>
      <c r="W27" s="24"/>
      <c r="X27" s="24"/>
      <c r="Y27" s="24"/>
    </row>
    <row r="28" spans="1:25" s="24" customFormat="1"/>
    <row r="29" spans="1:25" s="17" customFormat="1">
      <c r="A29" s="17" t="s">
        <v>58</v>
      </c>
      <c r="B29" s="27">
        <f t="shared" ref="B29:C29" si="9">B22</f>
        <v>51.470999999999997</v>
      </c>
      <c r="C29" s="27">
        <f t="shared" si="9"/>
        <v>81.8</v>
      </c>
      <c r="D29" s="27">
        <f t="shared" ref="D29:E29" si="10">D22</f>
        <v>108.6</v>
      </c>
      <c r="E29" s="27">
        <f t="shared" si="10"/>
        <v>113.00000000000001</v>
      </c>
      <c r="F29" s="27">
        <f t="shared" ref="F29:N29" si="11">F22</f>
        <v>103.07569999999998</v>
      </c>
      <c r="G29" s="27">
        <f t="shared" si="11"/>
        <v>103.00600000000026</v>
      </c>
      <c r="H29" s="27">
        <f t="shared" si="11"/>
        <v>137.80000000000004</v>
      </c>
      <c r="I29" s="27">
        <f t="shared" si="11"/>
        <v>132.453</v>
      </c>
      <c r="J29" s="27">
        <f t="shared" si="11"/>
        <v>101.04099999999995</v>
      </c>
      <c r="K29" s="27">
        <f t="shared" si="11"/>
        <v>109.18400000000007</v>
      </c>
      <c r="L29" s="27">
        <f t="shared" si="11"/>
        <v>118.1</v>
      </c>
      <c r="M29" s="27">
        <f t="shared" si="11"/>
        <v>128.88499999999999</v>
      </c>
      <c r="N29" s="27">
        <f t="shared" si="11"/>
        <v>107.89499999999998</v>
      </c>
      <c r="Q29" s="24"/>
      <c r="R29" s="24"/>
      <c r="S29" s="24"/>
      <c r="T29" s="24"/>
      <c r="U29" s="24"/>
      <c r="V29" s="24"/>
      <c r="W29" s="24"/>
      <c r="X29" s="24"/>
      <c r="Y29" s="24"/>
    </row>
    <row r="30" spans="1:25" s="33" customFormat="1">
      <c r="A30" s="20" t="s">
        <v>63</v>
      </c>
      <c r="B30" s="20">
        <f>-10.456+0.532</f>
        <v>-9.9239999999999995</v>
      </c>
      <c r="C30" s="20"/>
      <c r="D30" s="20">
        <v>-18.600000000000001</v>
      </c>
      <c r="E30" s="20">
        <v>-22.3</v>
      </c>
      <c r="F30" s="20">
        <v>-19.972999999999999</v>
      </c>
      <c r="G30" s="20">
        <v>-34.591999999999999</v>
      </c>
      <c r="H30" s="20">
        <v>-23.265000000000004</v>
      </c>
      <c r="I30" s="20">
        <v>-35.334999999999994</v>
      </c>
      <c r="J30" s="20">
        <v>-23.7</v>
      </c>
      <c r="K30" s="20">
        <v>-21.457000000000001</v>
      </c>
      <c r="L30" s="20">
        <v>-23.389999999999993</v>
      </c>
      <c r="M30" s="20">
        <v>-43.61</v>
      </c>
      <c r="N30" s="20">
        <v>-16.600000000000001</v>
      </c>
      <c r="Q30" s="24"/>
      <c r="R30" s="24"/>
      <c r="S30" s="24"/>
      <c r="T30" s="24"/>
      <c r="U30" s="24"/>
      <c r="V30" s="24"/>
      <c r="W30" s="24"/>
      <c r="X30" s="24"/>
      <c r="Y30" s="24"/>
    </row>
    <row r="31" spans="1:25" s="33" customFormat="1">
      <c r="A31" s="20" t="s">
        <v>64</v>
      </c>
      <c r="B31" s="20">
        <f>5.19-4.344</f>
        <v>0.84600000000000009</v>
      </c>
      <c r="C31" s="20"/>
      <c r="D31" s="20">
        <v>0</v>
      </c>
      <c r="E31" s="20">
        <v>-16.3</v>
      </c>
      <c r="F31" s="20">
        <v>-10.346</v>
      </c>
      <c r="G31" s="20">
        <v>-4.1450000000000005</v>
      </c>
      <c r="H31" s="20">
        <v>-4.9599999999999982</v>
      </c>
      <c r="I31" s="20">
        <v>-3.9140000000000006</v>
      </c>
      <c r="J31" s="20">
        <v>-4.3869999999999996</v>
      </c>
      <c r="K31" s="20">
        <v>-7.7210000000000001</v>
      </c>
      <c r="L31" s="20">
        <v>-5.0679999999999978</v>
      </c>
      <c r="M31" s="20">
        <v>-6.620000000000001</v>
      </c>
      <c r="N31" s="20">
        <v>-4.4329999999999998</v>
      </c>
      <c r="Q31" s="17"/>
      <c r="R31" s="17"/>
      <c r="S31" s="17"/>
      <c r="T31" s="17"/>
      <c r="U31" s="17"/>
      <c r="V31" s="17"/>
      <c r="W31" s="17"/>
      <c r="X31" s="17"/>
      <c r="Y31" s="17"/>
    </row>
    <row r="32" spans="1:25" s="33" customFormat="1">
      <c r="A32" s="20" t="s">
        <v>65</v>
      </c>
      <c r="B32" s="20">
        <f>-9.404+4.564-2.232+4.652-1.958</f>
        <v>-4.3780000000000001</v>
      </c>
      <c r="C32" s="20"/>
      <c r="D32" s="20">
        <v>24.800000000000004</v>
      </c>
      <c r="E32" s="20">
        <v>-18.353000000000009</v>
      </c>
      <c r="F32" s="20">
        <v>-46.046999999999997</v>
      </c>
      <c r="G32" s="20">
        <v>16.554000000000002</v>
      </c>
      <c r="H32" s="20">
        <v>38.695000000000007</v>
      </c>
      <c r="I32" s="20">
        <v>-40.333000000000006</v>
      </c>
      <c r="J32" s="20">
        <v>-19.816000000000003</v>
      </c>
      <c r="K32" s="20">
        <v>13.432000000000002</v>
      </c>
      <c r="L32" s="20">
        <v>38.900999999999982</v>
      </c>
      <c r="M32" s="20">
        <v>-47.156999999999989</v>
      </c>
      <c r="N32" s="20">
        <v>-34.814</v>
      </c>
      <c r="Y32" s="17"/>
    </row>
    <row r="33" spans="1:17" s="33" customFormat="1">
      <c r="A33" s="20" t="s">
        <v>66</v>
      </c>
      <c r="B33" s="20">
        <v>0</v>
      </c>
      <c r="C33" s="20"/>
      <c r="D33" s="20">
        <v>0</v>
      </c>
      <c r="E33" s="20">
        <v>0</v>
      </c>
      <c r="F33" s="20">
        <v>0</v>
      </c>
      <c r="G33" s="20">
        <v>0</v>
      </c>
      <c r="H33" s="20">
        <v>0</v>
      </c>
      <c r="I33" s="20">
        <v>0</v>
      </c>
      <c r="J33" s="20">
        <v>0</v>
      </c>
      <c r="K33" s="20">
        <v>0</v>
      </c>
      <c r="L33" s="20">
        <v>0</v>
      </c>
      <c r="M33" s="20">
        <v>0</v>
      </c>
      <c r="N33" s="20">
        <v>0</v>
      </c>
      <c r="Q33" s="50"/>
    </row>
    <row r="34" spans="1:17" s="33" customFormat="1">
      <c r="A34" s="20" t="s">
        <v>57</v>
      </c>
      <c r="B34" s="29">
        <v>0</v>
      </c>
      <c r="C34" s="29"/>
      <c r="D34" s="29">
        <v>0</v>
      </c>
      <c r="E34" s="29">
        <v>0</v>
      </c>
      <c r="F34" s="29">
        <v>0</v>
      </c>
      <c r="G34" s="29">
        <v>0</v>
      </c>
      <c r="H34" s="29">
        <v>0</v>
      </c>
      <c r="I34" s="29">
        <v>0</v>
      </c>
      <c r="J34" s="29">
        <v>0</v>
      </c>
      <c r="K34" s="29">
        <v>0</v>
      </c>
      <c r="L34" s="29">
        <v>0</v>
      </c>
      <c r="M34" s="29">
        <v>0</v>
      </c>
      <c r="N34" s="29">
        <v>0</v>
      </c>
    </row>
    <row r="35" spans="1:17" s="27" customFormat="1">
      <c r="A35" s="27" t="s">
        <v>67</v>
      </c>
      <c r="B35" s="27">
        <v>16.545999999999999</v>
      </c>
      <c r="D35" s="27">
        <v>88.499999999999986</v>
      </c>
      <c r="E35" s="27">
        <v>57.569000000000003</v>
      </c>
      <c r="F35" s="27">
        <v>4.5309999999999997</v>
      </c>
      <c r="G35" s="27">
        <v>85.805999999999983</v>
      </c>
      <c r="H35" s="27">
        <v>121.90200000000002</v>
      </c>
      <c r="I35" s="27">
        <v>33.153999999999996</v>
      </c>
      <c r="J35" s="27">
        <v>26.838000000000001</v>
      </c>
      <c r="K35" s="27">
        <v>82.641000000000034</v>
      </c>
      <c r="L35" s="27">
        <v>115.86499999999998</v>
      </c>
      <c r="M35" s="27">
        <v>28.102999999999998</v>
      </c>
      <c r="N35" s="27">
        <v>22.035</v>
      </c>
    </row>
    <row r="36" spans="1:17" s="33" customFormat="1">
      <c r="A36" s="20" t="s">
        <v>68</v>
      </c>
      <c r="B36" s="29">
        <v>-12.563000000000001</v>
      </c>
      <c r="C36" s="29"/>
      <c r="D36" s="29">
        <v>-26.3</v>
      </c>
      <c r="E36" s="29">
        <v>-22.395</v>
      </c>
      <c r="F36" s="29">
        <v>-28.105</v>
      </c>
      <c r="G36" s="29">
        <v>-35.946999999999981</v>
      </c>
      <c r="H36" s="29">
        <v>-26.178000000000011</v>
      </c>
      <c r="I36" s="29">
        <v>-31.847999999999992</v>
      </c>
      <c r="J36" s="29">
        <v>-33.627000000000002</v>
      </c>
      <c r="K36" s="29">
        <v>-36.365999999999978</v>
      </c>
      <c r="L36" s="29">
        <v>-29.256</v>
      </c>
      <c r="M36" s="29">
        <v>-32.722000000000001</v>
      </c>
      <c r="N36" s="29">
        <v>-33.344000000000001</v>
      </c>
    </row>
    <row r="37" spans="1:17" s="27" customFormat="1">
      <c r="A37" s="27" t="s">
        <v>69</v>
      </c>
      <c r="B37" s="27">
        <f>+B35+B36</f>
        <v>3.9829999999999988</v>
      </c>
      <c r="C37" s="158" t="s">
        <v>112</v>
      </c>
      <c r="D37" s="27">
        <f>+D35+D36</f>
        <v>62.199999999999989</v>
      </c>
      <c r="E37" s="27">
        <f>+E35+E36</f>
        <v>35.174000000000007</v>
      </c>
      <c r="F37" s="27">
        <f>+F35+F36</f>
        <v>-23.574000000000002</v>
      </c>
      <c r="G37" s="27">
        <f>+G35+G36</f>
        <v>49.859000000000002</v>
      </c>
      <c r="H37" s="27">
        <f t="shared" ref="H37:N37" si="12">+H35+H36</f>
        <v>95.724000000000004</v>
      </c>
      <c r="I37" s="27">
        <f t="shared" si="12"/>
        <v>1.3060000000000045</v>
      </c>
      <c r="J37" s="27">
        <f t="shared" si="12"/>
        <v>-6.7890000000000015</v>
      </c>
      <c r="K37" s="27">
        <f t="shared" si="12"/>
        <v>46.275000000000055</v>
      </c>
      <c r="L37" s="27">
        <f t="shared" si="12"/>
        <v>86.60899999999998</v>
      </c>
      <c r="M37" s="27">
        <f t="shared" si="12"/>
        <v>-4.6190000000000033</v>
      </c>
      <c r="N37" s="27">
        <f t="shared" si="12"/>
        <v>-11.309000000000001</v>
      </c>
    </row>
    <row r="39" spans="1:17" s="35" customFormat="1">
      <c r="A39" s="34" t="s">
        <v>70</v>
      </c>
      <c r="B39" s="20">
        <v>0</v>
      </c>
      <c r="C39" s="20">
        <v>0</v>
      </c>
      <c r="D39" s="20">
        <v>0</v>
      </c>
      <c r="E39" s="20">
        <v>0</v>
      </c>
      <c r="F39" s="20">
        <v>63.988999999999997</v>
      </c>
      <c r="G39" s="20">
        <v>0</v>
      </c>
      <c r="H39" s="20">
        <v>0</v>
      </c>
      <c r="I39" s="20">
        <v>0</v>
      </c>
      <c r="J39" s="20">
        <v>2</v>
      </c>
      <c r="K39" s="20"/>
      <c r="L39" s="20"/>
      <c r="M39" s="20"/>
      <c r="N39" s="20"/>
    </row>
    <row r="40" spans="1:17" s="35" customFormat="1">
      <c r="A40" s="34" t="s">
        <v>71</v>
      </c>
      <c r="B40" s="20">
        <f>671.7+459.7</f>
        <v>1131.4000000000001</v>
      </c>
      <c r="C40" s="20">
        <f>671.71+459.653</f>
        <v>1131.3630000000001</v>
      </c>
      <c r="D40" s="20">
        <v>1662.8</v>
      </c>
      <c r="E40" s="20">
        <v>1662.8</v>
      </c>
      <c r="F40" s="20">
        <f>1701.769-F39</f>
        <v>1637.78</v>
      </c>
      <c r="G40" s="20">
        <f>1637.126-G39</f>
        <v>1637.126</v>
      </c>
      <c r="H40" s="20">
        <f>1748.275-H39</f>
        <v>1748.2750000000001</v>
      </c>
      <c r="I40" s="20">
        <f>1851.192-I39</f>
        <v>1851.192</v>
      </c>
      <c r="J40" s="20">
        <f>1851.764-J39</f>
        <v>1849.7639999999999</v>
      </c>
      <c r="K40" s="20"/>
      <c r="L40" s="20"/>
      <c r="M40" s="20"/>
      <c r="N40" s="20"/>
    </row>
    <row r="41" spans="1:17" s="35" customFormat="1">
      <c r="A41" s="34" t="s">
        <v>72</v>
      </c>
      <c r="B41" s="20">
        <f t="shared" ref="B41:J41" si="13">B39+B40+295</f>
        <v>1426.4</v>
      </c>
      <c r="C41" s="20">
        <f t="shared" si="13"/>
        <v>1426.3630000000001</v>
      </c>
      <c r="D41" s="20">
        <f t="shared" si="13"/>
        <v>1957.8</v>
      </c>
      <c r="E41" s="20">
        <f t="shared" si="13"/>
        <v>1957.8</v>
      </c>
      <c r="F41" s="20">
        <f t="shared" si="13"/>
        <v>1996.769</v>
      </c>
      <c r="G41" s="20">
        <f t="shared" si="13"/>
        <v>1932.126</v>
      </c>
      <c r="H41" s="20">
        <f t="shared" si="13"/>
        <v>2043.2750000000001</v>
      </c>
      <c r="I41" s="20">
        <f t="shared" si="13"/>
        <v>2146.192</v>
      </c>
      <c r="J41" s="20">
        <f t="shared" si="13"/>
        <v>2146.7640000000001</v>
      </c>
      <c r="K41" s="20"/>
      <c r="L41" s="20"/>
      <c r="M41" s="20"/>
      <c r="N41" s="20"/>
    </row>
    <row r="42" spans="1:17" s="35" customFormat="1">
      <c r="A42" s="34" t="s">
        <v>73</v>
      </c>
      <c r="B42" s="36">
        <v>1572.7</v>
      </c>
      <c r="C42" s="36">
        <v>1572.7</v>
      </c>
      <c r="D42" s="36">
        <v>1572.7</v>
      </c>
      <c r="E42" s="36">
        <v>1824.868479</v>
      </c>
      <c r="F42" s="36">
        <v>1757.8009999999999</v>
      </c>
      <c r="G42" s="36">
        <v>2070.3150000000001</v>
      </c>
      <c r="H42" s="36">
        <v>2170.346</v>
      </c>
      <c r="I42" s="36">
        <v>2157.2020000000002</v>
      </c>
      <c r="J42" s="36">
        <v>2058.991</v>
      </c>
      <c r="K42" s="36"/>
      <c r="L42" s="36"/>
      <c r="M42" s="36"/>
      <c r="N42" s="36"/>
    </row>
    <row r="43" spans="1:17">
      <c r="B43" s="35"/>
      <c r="C43" s="35"/>
      <c r="D43" s="35"/>
      <c r="E43" s="35"/>
      <c r="F43" s="35"/>
      <c r="G43" s="35"/>
      <c r="H43" s="35"/>
      <c r="I43" s="35"/>
    </row>
    <row r="44" spans="1:17">
      <c r="A44" s="19" t="s">
        <v>74</v>
      </c>
      <c r="B44" s="28">
        <v>55.170999999999999</v>
      </c>
      <c r="C44" s="28">
        <v>135.53100000000001</v>
      </c>
      <c r="D44" s="28">
        <v>166.2</v>
      </c>
      <c r="E44" s="28">
        <v>88.6</v>
      </c>
      <c r="F44" s="28">
        <v>107.7</v>
      </c>
      <c r="G44" s="28">
        <v>73.900000000000006</v>
      </c>
      <c r="H44" s="28">
        <v>80.254999999999995</v>
      </c>
      <c r="I44" s="28">
        <v>83.959000000000003</v>
      </c>
      <c r="J44" s="28">
        <v>54.085000000000001</v>
      </c>
      <c r="K44" s="28"/>
      <c r="L44" s="28"/>
      <c r="M44" s="28"/>
      <c r="N44" s="28"/>
    </row>
    <row r="46" spans="1:17">
      <c r="A46" s="14" t="s">
        <v>75</v>
      </c>
      <c r="B46" s="51">
        <f>C46+B12-125.554</f>
        <v>1108.47</v>
      </c>
      <c r="C46" s="51">
        <v>1107.4000000000001</v>
      </c>
      <c r="D46" s="33">
        <f t="shared" ref="D46:J46" si="14">SUM(D12:G12)</f>
        <v>1453.8020000000001</v>
      </c>
      <c r="E46" s="33">
        <f t="shared" si="14"/>
        <v>1497.3020000000001</v>
      </c>
      <c r="F46" s="33">
        <f t="shared" si="14"/>
        <v>1569.4770000000003</v>
      </c>
      <c r="G46" s="33">
        <f t="shared" si="14"/>
        <v>1567.1000000000004</v>
      </c>
      <c r="H46" s="33">
        <f t="shared" si="14"/>
        <v>1594.7860000000001</v>
      </c>
      <c r="I46" s="33">
        <f t="shared" si="14"/>
        <v>1598.1860000000001</v>
      </c>
      <c r="J46" s="33">
        <f t="shared" si="14"/>
        <v>1601.2239999999999</v>
      </c>
      <c r="K46" s="33"/>
    </row>
    <row r="47" spans="1:17">
      <c r="A47" s="14" t="s">
        <v>76</v>
      </c>
      <c r="B47" s="33">
        <f t="shared" ref="B47:E47" si="15">+B27</f>
        <v>329.62099999999998</v>
      </c>
      <c r="C47" s="33">
        <f t="shared" si="15"/>
        <v>338</v>
      </c>
      <c r="D47" s="33">
        <f t="shared" si="15"/>
        <v>427.68170000000026</v>
      </c>
      <c r="E47" s="33">
        <f t="shared" si="15"/>
        <v>456.88170000000025</v>
      </c>
      <c r="F47" s="33">
        <f t="shared" ref="F47:J47" si="16">+F27</f>
        <v>476.33470000000023</v>
      </c>
      <c r="G47" s="33">
        <f t="shared" si="16"/>
        <v>474.30000000000024</v>
      </c>
      <c r="H47" s="33">
        <f t="shared" si="16"/>
        <v>480.47800000000007</v>
      </c>
      <c r="I47" s="33">
        <f t="shared" si="16"/>
        <v>460.77800000000002</v>
      </c>
      <c r="J47" s="33">
        <f t="shared" si="16"/>
        <v>457.21000000000004</v>
      </c>
      <c r="K47" s="33"/>
    </row>
    <row r="48" spans="1:17">
      <c r="A48" s="14" t="s">
        <v>77</v>
      </c>
      <c r="B48" s="51">
        <f>C48+B37-11.08+10.005</f>
        <v>116.908</v>
      </c>
      <c r="C48" s="51">
        <f>223.6-109.6</f>
        <v>114</v>
      </c>
      <c r="D48" s="33">
        <f t="shared" ref="D48:J48" si="17">+SUM(D37:G37)</f>
        <v>123.65899999999999</v>
      </c>
      <c r="E48" s="33">
        <f t="shared" si="17"/>
        <v>157.18299999999999</v>
      </c>
      <c r="F48" s="33">
        <f t="shared" si="17"/>
        <v>123.315</v>
      </c>
      <c r="G48" s="33">
        <f t="shared" si="17"/>
        <v>140.10000000000002</v>
      </c>
      <c r="H48" s="33">
        <f t="shared" si="17"/>
        <v>136.51600000000005</v>
      </c>
      <c r="I48" s="33">
        <f t="shared" si="17"/>
        <v>127.40100000000004</v>
      </c>
      <c r="J48" s="33">
        <f t="shared" si="17"/>
        <v>121.47600000000003</v>
      </c>
      <c r="K48" s="33"/>
    </row>
    <row r="50" spans="1:14" s="37" customFormat="1">
      <c r="A50" s="37" t="s">
        <v>78</v>
      </c>
      <c r="B50" s="37">
        <f t="shared" ref="B50:C50" si="18">+SUM(B39:B40)/B47</f>
        <v>3.4324269388176121</v>
      </c>
      <c r="C50" s="37">
        <f t="shared" si="18"/>
        <v>3.3472278106508879</v>
      </c>
      <c r="D50" s="37">
        <f t="shared" ref="D50:E50" si="19">+SUM(D39:D40)/D47</f>
        <v>3.8879381558762018</v>
      </c>
      <c r="E50" s="37">
        <f t="shared" si="19"/>
        <v>3.639454151917223</v>
      </c>
      <c r="F50" s="37">
        <f t="shared" ref="F50:J50" si="20">+SUM(F39:F40)/F47</f>
        <v>3.5726328566866936</v>
      </c>
      <c r="G50" s="37">
        <f t="shared" si="20"/>
        <v>3.4516677208517796</v>
      </c>
      <c r="H50" s="37">
        <f t="shared" si="20"/>
        <v>3.638616128105761</v>
      </c>
      <c r="I50" s="37">
        <f t="shared" si="20"/>
        <v>4.0175355594234095</v>
      </c>
      <c r="J50" s="37">
        <f t="shared" si="20"/>
        <v>4.0501388858511405</v>
      </c>
    </row>
    <row r="51" spans="1:14" s="37" customFormat="1">
      <c r="A51" s="37" t="s">
        <v>79</v>
      </c>
      <c r="B51" s="37">
        <f t="shared" ref="B51:C51" si="21">+B41/B47</f>
        <v>4.3273941890838268</v>
      </c>
      <c r="C51" s="37">
        <f t="shared" si="21"/>
        <v>4.2200088757396452</v>
      </c>
      <c r="D51" s="37">
        <f t="shared" ref="D51:E51" si="22">+D41/D47</f>
        <v>4.5777034649834185</v>
      </c>
      <c r="E51" s="37">
        <f t="shared" si="22"/>
        <v>4.2851355175748971</v>
      </c>
      <c r="F51" s="37">
        <f t="shared" ref="F51:J51" si="23">+F41/F47</f>
        <v>4.1919452855313688</v>
      </c>
      <c r="G51" s="37">
        <f t="shared" si="23"/>
        <v>4.0736369386464242</v>
      </c>
      <c r="H51" s="37">
        <f t="shared" si="23"/>
        <v>4.252588047735796</v>
      </c>
      <c r="I51" s="37">
        <f t="shared" si="23"/>
        <v>4.6577570977781058</v>
      </c>
      <c r="J51" s="37">
        <f t="shared" si="23"/>
        <v>4.6953566194965113</v>
      </c>
    </row>
    <row r="52" spans="1:14" s="37" customFormat="1">
      <c r="A52" s="37" t="s">
        <v>80</v>
      </c>
      <c r="B52" s="37">
        <f t="shared" ref="B52:C52" si="24">+(B41-B44)/B47</f>
        <v>4.160017110560311</v>
      </c>
      <c r="C52" s="37">
        <f t="shared" si="24"/>
        <v>3.819029585798817</v>
      </c>
      <c r="D52" s="37">
        <f t="shared" ref="D52:E52" si="25">+(D41-D44)/D47</f>
        <v>4.1890967043948777</v>
      </c>
      <c r="E52" s="37">
        <f t="shared" si="25"/>
        <v>4.0912122328383891</v>
      </c>
      <c r="F52" s="37">
        <f t="shared" ref="F52:J52" si="26">+(F41-F44)/F47</f>
        <v>3.9658437648989233</v>
      </c>
      <c r="G52" s="37">
        <f t="shared" si="26"/>
        <v>3.917828378663291</v>
      </c>
      <c r="H52" s="37">
        <f t="shared" si="26"/>
        <v>4.0855564666852588</v>
      </c>
      <c r="I52" s="37">
        <f t="shared" si="26"/>
        <v>4.4755457074773535</v>
      </c>
      <c r="J52" s="37">
        <f t="shared" si="26"/>
        <v>4.5770630563635963</v>
      </c>
    </row>
    <row r="53" spans="1:14" s="38" customFormat="1">
      <c r="A53" s="38" t="s">
        <v>81</v>
      </c>
      <c r="B53" s="38">
        <f t="shared" ref="B53:C53" si="27">+B48/B41</f>
        <v>8.1960179472798655E-2</v>
      </c>
      <c r="C53" s="38">
        <f t="shared" si="27"/>
        <v>7.9923553821853205E-2</v>
      </c>
      <c r="D53" s="38">
        <f t="shared" ref="D53:E53" si="28">+D48/D41</f>
        <v>6.3162222903258763E-2</v>
      </c>
      <c r="E53" s="38">
        <f t="shared" si="28"/>
        <v>8.0285524568393093E-2</v>
      </c>
      <c r="F53" s="38">
        <f t="shared" ref="F53:J53" si="29">+F48/F41</f>
        <v>6.175726886785602E-2</v>
      </c>
      <c r="G53" s="38">
        <f t="shared" si="29"/>
        <v>7.2510798985159372E-2</v>
      </c>
      <c r="H53" s="38">
        <f t="shared" si="29"/>
        <v>6.6812347823959103E-2</v>
      </c>
      <c r="I53" s="38">
        <f t="shared" si="29"/>
        <v>5.9361417804185294E-2</v>
      </c>
      <c r="J53" s="38">
        <f t="shared" si="29"/>
        <v>5.6585633073779895E-2</v>
      </c>
    </row>
    <row r="54" spans="1:14" s="38" customFormat="1">
      <c r="A54" s="39" t="s">
        <v>82</v>
      </c>
      <c r="B54" s="40">
        <v>9</v>
      </c>
      <c r="C54" s="40">
        <v>9</v>
      </c>
      <c r="D54" s="40">
        <v>9</v>
      </c>
      <c r="E54" s="40">
        <v>9</v>
      </c>
      <c r="F54" s="40">
        <v>9</v>
      </c>
      <c r="G54" s="40">
        <v>9</v>
      </c>
      <c r="H54" s="40">
        <v>9</v>
      </c>
      <c r="I54" s="40">
        <v>9</v>
      </c>
      <c r="J54" s="40">
        <v>9</v>
      </c>
      <c r="K54" s="40"/>
      <c r="L54" s="39"/>
      <c r="M54" s="39"/>
      <c r="N54" s="39"/>
    </row>
    <row r="55" spans="1:14" s="38" customFormat="1">
      <c r="A55" s="38" t="s">
        <v>83</v>
      </c>
      <c r="B55" s="41">
        <f t="shared" ref="B55:C55" si="30">IF(B42=0,IF(B54="","","*"&amp;TEXT(B54,"0.0x")),(B41+B42-B44)/B47)</f>
        <v>8.931254380030401</v>
      </c>
      <c r="C55" s="41">
        <f t="shared" si="30"/>
        <v>8.4719881656804734</v>
      </c>
      <c r="D55" s="41">
        <f t="shared" ref="D55:E55" si="31">IF(D42=0,IF(D54="","","*"&amp;TEXT(D54,"0.0x")),(D41+D42-D44)/D47)</f>
        <v>7.8663641675573173</v>
      </c>
      <c r="E55" s="41">
        <f t="shared" si="31"/>
        <v>8.0853938317074157</v>
      </c>
      <c r="F55" s="41">
        <f t="shared" ref="F55:J55" si="32">IF(F42=0,IF(F54="","","*"&amp;TEXT(F54,"0.0x")),(F41+F42-F44)/F47)</f>
        <v>7.6561081945111242</v>
      </c>
      <c r="G55" s="41">
        <f t="shared" si="32"/>
        <v>8.2828188909972535</v>
      </c>
      <c r="H55" s="41">
        <f t="shared" si="32"/>
        <v>8.6026123984865066</v>
      </c>
      <c r="I55" s="41">
        <f t="shared" si="32"/>
        <v>9.1571971752123584</v>
      </c>
      <c r="J55" s="41">
        <f t="shared" si="32"/>
        <v>9.080444434723649</v>
      </c>
      <c r="K55" s="41"/>
      <c r="L55" s="41" t="str">
        <f>IF(L42=0,IF(L54="","",CONCATENATE("* ",L54,"x")),(L41+L42-L44)/L47)</f>
        <v/>
      </c>
      <c r="M55" s="41" t="str">
        <f>IF(M42=0,IF(M54="","",CONCATENATE("* ",M54,"x")),(M41+M42-M44)/M47)</f>
        <v/>
      </c>
      <c r="N55" s="41" t="str">
        <f>IF(N42=0,IF(N54="","",CONCATENATE("* ",N54,"x")),(N41+N42-N44)/N47)</f>
        <v/>
      </c>
    </row>
    <row r="56" spans="1:14">
      <c r="K56" s="42"/>
    </row>
    <row r="57" spans="1:14" ht="80.25" customHeight="1">
      <c r="A57" s="43" t="s">
        <v>84</v>
      </c>
      <c r="B57" s="44" t="s">
        <v>621</v>
      </c>
      <c r="C57" s="44" t="s">
        <v>621</v>
      </c>
      <c r="D57" s="44" t="s">
        <v>90</v>
      </c>
      <c r="E57" s="44" t="s">
        <v>90</v>
      </c>
      <c r="F57" s="44" t="s">
        <v>90</v>
      </c>
      <c r="G57" s="44"/>
      <c r="H57" s="44"/>
      <c r="I57" s="44"/>
      <c r="J57" s="44"/>
      <c r="K57" s="44"/>
      <c r="L57" s="44"/>
      <c r="M57" s="44"/>
      <c r="N57" s="44"/>
    </row>
    <row r="58" spans="1:14">
      <c r="A58" s="45"/>
      <c r="B58" s="42"/>
      <c r="C58" s="42"/>
      <c r="D58" s="42"/>
      <c r="E58" s="42"/>
      <c r="F58" s="42"/>
      <c r="G58" s="42"/>
    </row>
    <row r="59" spans="1:14">
      <c r="A59" s="45"/>
    </row>
  </sheetData>
  <pageMargins left="0.7" right="0.7" top="0.75" bottom="0.75" header="0.3" footer="0.3"/>
  <pageSetup orientation="portrait" r:id="rId1"/>
  <ignoredErrors>
    <ignoredError sqref="F46:J49" formulaRange="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H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22" width="10.6640625" style="14" customWidth="1"/>
    <col min="23" max="16384" width="9.109375" style="14"/>
  </cols>
  <sheetData>
    <row r="2" spans="1:34">
      <c r="A2" s="13" t="s">
        <v>44</v>
      </c>
      <c r="B2" s="14" t="s">
        <v>10</v>
      </c>
    </row>
    <row r="3" spans="1:34" s="16" customFormat="1">
      <c r="A3" s="15" t="s">
        <v>45</v>
      </c>
      <c r="B3" s="16" t="s">
        <v>122</v>
      </c>
    </row>
    <row r="4" spans="1:34">
      <c r="A4" s="13" t="s">
        <v>2</v>
      </c>
      <c r="B4" s="14" t="s">
        <v>493</v>
      </c>
    </row>
    <row r="5" spans="1:34">
      <c r="A5" s="13" t="s">
        <v>46</v>
      </c>
    </row>
    <row r="6" spans="1:34">
      <c r="A6" s="13" t="s">
        <v>47</v>
      </c>
      <c r="B6" s="14">
        <v>3</v>
      </c>
    </row>
    <row r="7" spans="1:34">
      <c r="A7" s="13" t="s">
        <v>48</v>
      </c>
      <c r="B7" s="14" t="s">
        <v>258</v>
      </c>
    </row>
    <row r="8" spans="1:34">
      <c r="A8" s="13" t="s">
        <v>347</v>
      </c>
      <c r="B8" s="14" t="s">
        <v>398</v>
      </c>
    </row>
    <row r="9" spans="1:34">
      <c r="A9" s="17"/>
    </row>
    <row r="10" spans="1:34">
      <c r="A10" s="17" t="s">
        <v>49</v>
      </c>
      <c r="B10" s="18">
        <v>44286</v>
      </c>
      <c r="C10" s="18">
        <v>44196</v>
      </c>
      <c r="D10" s="18">
        <v>44104</v>
      </c>
      <c r="E10" s="18">
        <v>44012</v>
      </c>
      <c r="F10" s="18">
        <v>43921</v>
      </c>
      <c r="G10" s="18">
        <v>43830</v>
      </c>
      <c r="H10" s="18">
        <v>43738</v>
      </c>
      <c r="I10" s="18">
        <v>43646</v>
      </c>
      <c r="J10" s="18">
        <v>43555</v>
      </c>
      <c r="K10" s="18">
        <v>43465</v>
      </c>
      <c r="L10" s="18">
        <v>43373</v>
      </c>
      <c r="M10" s="18">
        <v>43281</v>
      </c>
      <c r="N10" s="18">
        <v>43190</v>
      </c>
      <c r="O10" s="18">
        <v>43100</v>
      </c>
      <c r="P10" s="18">
        <v>43008</v>
      </c>
      <c r="Q10" s="18">
        <v>42916</v>
      </c>
      <c r="R10" s="18">
        <v>42825</v>
      </c>
      <c r="S10" s="18">
        <v>42735</v>
      </c>
      <c r="T10" s="18">
        <v>42643</v>
      </c>
      <c r="U10" s="18">
        <v>42551</v>
      </c>
      <c r="V10" s="18">
        <v>42460</v>
      </c>
    </row>
    <row r="11" spans="1:34">
      <c r="B11" s="33"/>
      <c r="C11" s="33"/>
      <c r="D11" s="33"/>
      <c r="E11" s="33"/>
    </row>
    <row r="12" spans="1:34">
      <c r="A12" s="19" t="s">
        <v>50</v>
      </c>
      <c r="B12" s="20">
        <v>19.844000000000001</v>
      </c>
      <c r="C12" s="20">
        <v>40.4</v>
      </c>
      <c r="D12" s="20">
        <v>37.848080000000003</v>
      </c>
      <c r="E12" s="20">
        <v>23.353472</v>
      </c>
      <c r="F12" s="20">
        <v>14.627625999999999</v>
      </c>
      <c r="G12" s="20">
        <v>20.730156999999998</v>
      </c>
      <c r="H12" s="20">
        <v>26.023</v>
      </c>
      <c r="I12" s="20">
        <v>23.044</v>
      </c>
      <c r="J12" s="20">
        <v>8.6120000000000001</v>
      </c>
      <c r="K12" s="20">
        <v>21.529382999999999</v>
      </c>
      <c r="L12" s="20">
        <v>33.544375000000002</v>
      </c>
      <c r="M12" s="20">
        <v>20.891003000000001</v>
      </c>
      <c r="N12" s="20">
        <v>24.986342999999998</v>
      </c>
      <c r="O12" s="20">
        <v>24.581427999999999</v>
      </c>
      <c r="P12" s="20">
        <v>31.916511</v>
      </c>
      <c r="Q12" s="20">
        <v>19.614161000000003</v>
      </c>
      <c r="R12" s="20">
        <v>15.216367999999999</v>
      </c>
      <c r="S12" s="20">
        <v>25.495324</v>
      </c>
      <c r="T12" s="20">
        <v>35.564675000000001</v>
      </c>
      <c r="U12" s="20">
        <v>39.161575999999997</v>
      </c>
      <c r="V12" s="20">
        <v>20.943925</v>
      </c>
    </row>
    <row r="13" spans="1:34" s="21" customFormat="1">
      <c r="A13" s="21" t="s">
        <v>51</v>
      </c>
      <c r="B13" s="21">
        <f t="shared" ref="B13:R13" si="0">+B12/F12-1</f>
        <v>0.35661111379249122</v>
      </c>
      <c r="C13" s="21">
        <f t="shared" si="0"/>
        <v>0.94885161747689617</v>
      </c>
      <c r="D13" s="21">
        <f t="shared" si="0"/>
        <v>0.45440879222226505</v>
      </c>
      <c r="E13" s="21">
        <f t="shared" si="0"/>
        <v>1.342961291442446E-2</v>
      </c>
      <c r="F13" s="21">
        <f t="shared" si="0"/>
        <v>0.69851672085462146</v>
      </c>
      <c r="G13" s="21">
        <f t="shared" si="0"/>
        <v>-3.7122568723869209E-2</v>
      </c>
      <c r="H13" s="21">
        <f t="shared" si="0"/>
        <v>-0.22422164669933486</v>
      </c>
      <c r="I13" s="21">
        <f t="shared" si="0"/>
        <v>0.10305857502389904</v>
      </c>
      <c r="J13" s="21">
        <f t="shared" si="0"/>
        <v>-0.65533171460905659</v>
      </c>
      <c r="K13" s="21">
        <f t="shared" si="0"/>
        <v>-0.12416060612914759</v>
      </c>
      <c r="L13" s="21">
        <f t="shared" si="0"/>
        <v>5.100382056171493E-2</v>
      </c>
      <c r="M13" s="21">
        <f t="shared" si="0"/>
        <v>6.5097966719045441E-2</v>
      </c>
      <c r="N13" s="21">
        <f t="shared" si="0"/>
        <v>0.64207010503426298</v>
      </c>
      <c r="O13" s="21">
        <f t="shared" si="0"/>
        <v>-3.5845631928427379E-2</v>
      </c>
      <c r="P13" s="21">
        <f t="shared" si="0"/>
        <v>-0.10257830276812596</v>
      </c>
      <c r="Q13" s="21">
        <f t="shared" si="0"/>
        <v>-0.49914781264165664</v>
      </c>
      <c r="R13" s="21">
        <f t="shared" si="0"/>
        <v>-0.27347104231895414</v>
      </c>
    </row>
    <row r="14" spans="1:34"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t="s">
        <v>3</v>
      </c>
      <c r="P14" s="23" t="s">
        <v>3</v>
      </c>
      <c r="Q14" s="23" t="s">
        <v>3</v>
      </c>
      <c r="R14" s="23" t="s">
        <v>3</v>
      </c>
      <c r="S14" s="23"/>
      <c r="T14" s="23"/>
      <c r="U14" s="22"/>
      <c r="V14" s="22"/>
    </row>
    <row r="15" spans="1:34">
      <c r="B15" s="21"/>
      <c r="C15" s="21"/>
      <c r="D15" s="21"/>
      <c r="E15" s="21"/>
      <c r="F15" s="21"/>
      <c r="G15" s="21"/>
      <c r="H15" s="21"/>
      <c r="I15" s="21"/>
      <c r="J15" s="21"/>
    </row>
    <row r="16" spans="1:34" s="17" customFormat="1">
      <c r="A16" s="25" t="s">
        <v>53</v>
      </c>
      <c r="B16" s="26">
        <v>21.667000000000002</v>
      </c>
      <c r="C16" s="26">
        <v>36.395000000000003</v>
      </c>
      <c r="D16" s="26">
        <v>31.437211999999999</v>
      </c>
      <c r="E16" s="26">
        <v>17.828341000000002</v>
      </c>
      <c r="F16" s="26">
        <v>8.824266999999999</v>
      </c>
      <c r="G16" s="26">
        <v>14.301950000000001</v>
      </c>
      <c r="H16" s="26">
        <v>18.061</v>
      </c>
      <c r="I16" s="26">
        <v>16.766999999999999</v>
      </c>
      <c r="J16" s="26">
        <v>3.9320000000000004</v>
      </c>
      <c r="K16" s="26">
        <v>15.926323999999999</v>
      </c>
      <c r="L16" s="26">
        <v>28.724104000000004</v>
      </c>
      <c r="M16" s="26">
        <v>14.648113000000002</v>
      </c>
      <c r="N16" s="26">
        <v>21.034859999999998</v>
      </c>
      <c r="O16" s="26">
        <v>17.816927999999997</v>
      </c>
      <c r="P16" s="26">
        <v>27.385251</v>
      </c>
      <c r="Q16" s="26">
        <v>13.665982000000003</v>
      </c>
      <c r="R16" s="26">
        <v>11.508140999999998</v>
      </c>
      <c r="S16" s="26">
        <v>17.947067000000001</v>
      </c>
      <c r="T16" s="26">
        <v>30.139881000000003</v>
      </c>
      <c r="U16" s="26">
        <v>32.017313999999999</v>
      </c>
      <c r="V16" s="26">
        <v>13.852535</v>
      </c>
      <c r="AH16" s="141"/>
    </row>
    <row r="17" spans="1:22" s="21" customFormat="1">
      <c r="A17" s="21" t="s">
        <v>54</v>
      </c>
      <c r="B17" s="21">
        <f t="shared" ref="B17:C17" si="1">+B16/B12</f>
        <v>1.0918665591614594</v>
      </c>
      <c r="C17" s="21">
        <f t="shared" si="1"/>
        <v>0.90086633663366344</v>
      </c>
      <c r="D17" s="21">
        <f t="shared" ref="D17:E17" si="2">+D16/D12</f>
        <v>0.83061576703494588</v>
      </c>
      <c r="E17" s="21">
        <f t="shared" si="2"/>
        <v>0.76341286640376227</v>
      </c>
      <c r="F17" s="21">
        <f t="shared" ref="F17:G17" si="3">+F16/F12</f>
        <v>0.60326036501069957</v>
      </c>
      <c r="G17" s="21">
        <f t="shared" si="3"/>
        <v>0.68991035620231933</v>
      </c>
      <c r="H17" s="21">
        <f t="shared" ref="H17:I17" si="4">+H16/H12</f>
        <v>0.694039887791569</v>
      </c>
      <c r="I17" s="21">
        <f t="shared" si="4"/>
        <v>0.72760805415726437</v>
      </c>
      <c r="J17" s="21">
        <f t="shared" ref="J17:K17" si="5">+J16/J12</f>
        <v>0.45657222480260107</v>
      </c>
      <c r="K17" s="21">
        <f t="shared" si="5"/>
        <v>0.73974827796969378</v>
      </c>
      <c r="L17" s="21">
        <f t="shared" ref="L17:V17" si="6">+L16/L12</f>
        <v>0.85630166011440079</v>
      </c>
      <c r="M17" s="21">
        <f t="shared" si="6"/>
        <v>0.70116848865514025</v>
      </c>
      <c r="N17" s="21">
        <f t="shared" si="6"/>
        <v>0.84185428816053631</v>
      </c>
      <c r="O17" s="21">
        <f t="shared" si="6"/>
        <v>0.72481256987999221</v>
      </c>
      <c r="P17" s="21">
        <f t="shared" si="6"/>
        <v>0.85802771487146579</v>
      </c>
      <c r="Q17" s="21">
        <f t="shared" si="6"/>
        <v>0.69674058451952148</v>
      </c>
      <c r="R17" s="21">
        <f t="shared" si="6"/>
        <v>0.75630012365631527</v>
      </c>
      <c r="S17" s="21">
        <f t="shared" si="6"/>
        <v>0.70393563149070004</v>
      </c>
      <c r="T17" s="21">
        <f t="shared" si="6"/>
        <v>0.84746679113474255</v>
      </c>
      <c r="U17" s="21">
        <f t="shared" si="6"/>
        <v>0.81756959934401008</v>
      </c>
      <c r="V17" s="21">
        <f t="shared" si="6"/>
        <v>0.66141064771765556</v>
      </c>
    </row>
    <row r="18" spans="1:22" s="24" customFormat="1"/>
    <row r="19" spans="1:22"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row>
    <row r="20" spans="1:22"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row>
    <row r="21" spans="1:22" s="24" customFormat="1">
      <c r="A21" s="19" t="s">
        <v>57</v>
      </c>
      <c r="B21" s="20">
        <f>19.731-B20-B19-B16</f>
        <v>-1.9359999999999999</v>
      </c>
      <c r="C21" s="20">
        <v>0</v>
      </c>
      <c r="D21" s="20">
        <v>-6.7818430000000003</v>
      </c>
      <c r="E21" s="20">
        <v>1.083291</v>
      </c>
      <c r="F21" s="20">
        <f>F22-F16-F19-F20</f>
        <v>-1.7940149999999999</v>
      </c>
      <c r="G21" s="20">
        <f t="shared" ref="G21:J21" si="7">G22-G16-G19-G20</f>
        <v>-0.25528800000000018</v>
      </c>
      <c r="H21" s="20">
        <f t="shared" si="7"/>
        <v>-0.23999999999999844</v>
      </c>
      <c r="I21" s="20">
        <f t="shared" si="7"/>
        <v>-0.86899999999999977</v>
      </c>
      <c r="J21" s="20">
        <f t="shared" si="7"/>
        <v>-1.004</v>
      </c>
      <c r="K21" s="20">
        <v>0</v>
      </c>
      <c r="L21" s="20">
        <v>0</v>
      </c>
      <c r="M21" s="20">
        <v>0</v>
      </c>
      <c r="N21" s="20">
        <v>0</v>
      </c>
      <c r="O21" s="20">
        <v>0</v>
      </c>
      <c r="P21" s="20">
        <v>0</v>
      </c>
      <c r="Q21" s="20">
        <v>0</v>
      </c>
      <c r="R21" s="20">
        <v>0</v>
      </c>
      <c r="S21" s="20">
        <v>0</v>
      </c>
      <c r="T21" s="20">
        <v>0</v>
      </c>
      <c r="U21" s="20">
        <v>0</v>
      </c>
      <c r="V21" s="20">
        <v>0</v>
      </c>
    </row>
    <row r="22" spans="1:22" s="17" customFormat="1">
      <c r="A22" s="17" t="s">
        <v>58</v>
      </c>
      <c r="B22" s="65">
        <f>B16+B19+B20+B21</f>
        <v>19.731000000000002</v>
      </c>
      <c r="C22" s="65">
        <f>C16+C19+C20+C21</f>
        <v>36.395000000000003</v>
      </c>
      <c r="D22" s="65">
        <f>D16+D19+D20+D21</f>
        <v>24.655369</v>
      </c>
      <c r="E22" s="65">
        <f>E16+E19+E20+E21</f>
        <v>18.911632000000001</v>
      </c>
      <c r="F22" s="46">
        <v>7.0302519999999991</v>
      </c>
      <c r="G22" s="46">
        <v>14.046662000000001</v>
      </c>
      <c r="H22" s="46">
        <v>17.821000000000002</v>
      </c>
      <c r="I22" s="46">
        <v>15.898</v>
      </c>
      <c r="J22" s="46">
        <v>2.9280000000000004</v>
      </c>
      <c r="K22" s="27">
        <f t="shared" ref="K22:V22" si="8">SUM(K16,K19:K21)</f>
        <v>15.926323999999999</v>
      </c>
      <c r="L22" s="27">
        <f t="shared" si="8"/>
        <v>28.724104000000004</v>
      </c>
      <c r="M22" s="27">
        <f t="shared" si="8"/>
        <v>14.648113000000002</v>
      </c>
      <c r="N22" s="27">
        <f t="shared" si="8"/>
        <v>21.034859999999998</v>
      </c>
      <c r="O22" s="27">
        <f t="shared" si="8"/>
        <v>17.816927999999997</v>
      </c>
      <c r="P22" s="27">
        <f t="shared" si="8"/>
        <v>27.385251</v>
      </c>
      <c r="Q22" s="27">
        <f t="shared" si="8"/>
        <v>13.665982000000003</v>
      </c>
      <c r="R22" s="27">
        <f t="shared" si="8"/>
        <v>11.508140999999998</v>
      </c>
      <c r="S22" s="27">
        <f t="shared" si="8"/>
        <v>17.947067000000001</v>
      </c>
      <c r="T22" s="27">
        <f t="shared" si="8"/>
        <v>30.139881000000003</v>
      </c>
      <c r="U22" s="27">
        <f t="shared" si="8"/>
        <v>32.017313999999999</v>
      </c>
      <c r="V22" s="27">
        <f t="shared" si="8"/>
        <v>13.852535</v>
      </c>
    </row>
    <row r="23" spans="1:22" s="17" customFormat="1">
      <c r="B23" s="21"/>
      <c r="C23" s="21"/>
      <c r="D23" s="21"/>
      <c r="E23" s="21"/>
      <c r="F23" s="21"/>
      <c r="G23" s="21"/>
      <c r="H23" s="21"/>
      <c r="I23" s="21"/>
      <c r="J23" s="21"/>
      <c r="K23" s="21"/>
      <c r="L23" s="21"/>
      <c r="M23" s="27"/>
      <c r="N23" s="27"/>
      <c r="O23" s="27"/>
      <c r="P23" s="27"/>
      <c r="Q23" s="27"/>
      <c r="R23" s="27"/>
      <c r="S23" s="27"/>
      <c r="T23" s="27"/>
      <c r="U23" s="27"/>
      <c r="V23" s="27"/>
    </row>
    <row r="24" spans="1:22" s="17" customFormat="1">
      <c r="A24" s="17" t="s">
        <v>59</v>
      </c>
      <c r="B24" s="27">
        <f t="shared" ref="B24:S24" si="9">SUM(B22:E22)</f>
        <v>99.69300100000001</v>
      </c>
      <c r="C24" s="27">
        <f t="shared" si="9"/>
        <v>86.992253000000005</v>
      </c>
      <c r="D24" s="27">
        <f t="shared" si="9"/>
        <v>64.643915000000007</v>
      </c>
      <c r="E24" s="27">
        <f t="shared" si="9"/>
        <v>57.809545999999997</v>
      </c>
      <c r="F24" s="27">
        <f t="shared" si="9"/>
        <v>54.795913999999996</v>
      </c>
      <c r="G24" s="27">
        <f t="shared" si="9"/>
        <v>50.693662000000003</v>
      </c>
      <c r="H24" s="27">
        <f t="shared" si="9"/>
        <v>52.573324</v>
      </c>
      <c r="I24" s="27">
        <f t="shared" si="9"/>
        <v>63.476428000000006</v>
      </c>
      <c r="J24" s="27">
        <f t="shared" si="9"/>
        <v>62.226541000000005</v>
      </c>
      <c r="K24" s="27">
        <f t="shared" si="9"/>
        <v>80.333401000000009</v>
      </c>
      <c r="L24" s="27">
        <f t="shared" si="9"/>
        <v>82.224005000000005</v>
      </c>
      <c r="M24" s="27">
        <f t="shared" si="9"/>
        <v>80.885152000000005</v>
      </c>
      <c r="N24" s="27">
        <f t="shared" si="9"/>
        <v>79.903020999999995</v>
      </c>
      <c r="O24" s="27">
        <f t="shared" si="9"/>
        <v>70.376301999999995</v>
      </c>
      <c r="P24" s="27">
        <f t="shared" si="9"/>
        <v>70.506441000000009</v>
      </c>
      <c r="Q24" s="27">
        <f t="shared" si="9"/>
        <v>73.261071000000001</v>
      </c>
      <c r="R24" s="27">
        <f t="shared" si="9"/>
        <v>91.612403</v>
      </c>
      <c r="S24" s="27">
        <f t="shared" si="9"/>
        <v>93.956797000000009</v>
      </c>
      <c r="T24" s="27"/>
      <c r="U24" s="27"/>
      <c r="V24" s="27"/>
    </row>
    <row r="25" spans="1:22" s="24" customFormat="1">
      <c r="A25" s="19" t="s">
        <v>60</v>
      </c>
      <c r="B25" s="28">
        <v>0</v>
      </c>
      <c r="C25" s="28">
        <v>0</v>
      </c>
      <c r="D25" s="28">
        <v>0</v>
      </c>
      <c r="E25" s="28">
        <v>0</v>
      </c>
      <c r="F25" s="28">
        <v>0</v>
      </c>
      <c r="G25" s="28">
        <v>0</v>
      </c>
      <c r="H25" s="28">
        <v>0</v>
      </c>
      <c r="I25" s="28">
        <v>0</v>
      </c>
      <c r="J25" s="28">
        <v>0</v>
      </c>
      <c r="K25" s="28">
        <v>0</v>
      </c>
      <c r="L25" s="28">
        <v>0</v>
      </c>
      <c r="M25" s="28">
        <v>0</v>
      </c>
      <c r="N25" s="28">
        <v>0</v>
      </c>
      <c r="O25" s="28">
        <v>0</v>
      </c>
      <c r="P25" s="28">
        <v>0</v>
      </c>
      <c r="Q25" s="28">
        <v>0</v>
      </c>
      <c r="R25" s="28">
        <v>0</v>
      </c>
      <c r="S25" s="28">
        <v>0</v>
      </c>
      <c r="T25" s="28"/>
      <c r="U25" s="28"/>
      <c r="V25" s="28"/>
    </row>
    <row r="26" spans="1:22" s="24" customFormat="1">
      <c r="A26" s="19" t="s">
        <v>61</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v>0</v>
      </c>
      <c r="S26" s="29">
        <v>0</v>
      </c>
      <c r="T26" s="29"/>
      <c r="U26" s="29"/>
      <c r="V26" s="30"/>
    </row>
    <row r="27" spans="1:22" s="32" customFormat="1">
      <c r="A27" s="17" t="s">
        <v>62</v>
      </c>
      <c r="B27" s="27">
        <f t="shared" ref="B27:C27" si="10">SUM(B24:B26)</f>
        <v>99.69300100000001</v>
      </c>
      <c r="C27" s="27">
        <f t="shared" si="10"/>
        <v>86.992253000000005</v>
      </c>
      <c r="D27" s="27">
        <f t="shared" ref="D27:E27" si="11">SUM(D24:D26)</f>
        <v>64.643915000000007</v>
      </c>
      <c r="E27" s="27">
        <f t="shared" si="11"/>
        <v>57.809545999999997</v>
      </c>
      <c r="F27" s="27">
        <f t="shared" ref="F27:G27" si="12">SUM(F24:F26)</f>
        <v>54.795913999999996</v>
      </c>
      <c r="G27" s="27">
        <f t="shared" si="12"/>
        <v>50.693662000000003</v>
      </c>
      <c r="H27" s="27">
        <f t="shared" ref="H27:I27" si="13">SUM(H24:H26)</f>
        <v>52.573324</v>
      </c>
      <c r="I27" s="27">
        <f t="shared" si="13"/>
        <v>63.476428000000006</v>
      </c>
      <c r="J27" s="27">
        <f t="shared" ref="J27:K27" si="14">SUM(J24:J26)</f>
        <v>62.226541000000005</v>
      </c>
      <c r="K27" s="27">
        <f t="shared" si="14"/>
        <v>80.333401000000009</v>
      </c>
      <c r="L27" s="27">
        <f t="shared" ref="L27:S27" si="15">SUM(L24:L26)</f>
        <v>82.224005000000005</v>
      </c>
      <c r="M27" s="27">
        <f t="shared" si="15"/>
        <v>80.885152000000005</v>
      </c>
      <c r="N27" s="27">
        <f t="shared" si="15"/>
        <v>79.903020999999995</v>
      </c>
      <c r="O27" s="27">
        <f t="shared" si="15"/>
        <v>70.376301999999995</v>
      </c>
      <c r="P27" s="27">
        <f t="shared" si="15"/>
        <v>70.506441000000009</v>
      </c>
      <c r="Q27" s="27">
        <f t="shared" si="15"/>
        <v>73.261071000000001</v>
      </c>
      <c r="R27" s="27">
        <f t="shared" si="15"/>
        <v>91.612403</v>
      </c>
      <c r="S27" s="27">
        <f t="shared" si="15"/>
        <v>93.956797000000009</v>
      </c>
      <c r="T27" s="27"/>
      <c r="U27" s="27"/>
      <c r="V27" s="31"/>
    </row>
    <row r="28" spans="1:22" s="24" customFormat="1"/>
    <row r="29" spans="1:22" s="17" customFormat="1">
      <c r="A29" s="17" t="s">
        <v>58</v>
      </c>
      <c r="B29" s="27">
        <f t="shared" ref="B29:C29" si="16">B22</f>
        <v>19.731000000000002</v>
      </c>
      <c r="C29" s="27">
        <f t="shared" si="16"/>
        <v>36.395000000000003</v>
      </c>
      <c r="D29" s="27">
        <f t="shared" ref="D29:F29" si="17">D22</f>
        <v>24.655369</v>
      </c>
      <c r="E29" s="27">
        <f t="shared" si="17"/>
        <v>18.911632000000001</v>
      </c>
      <c r="F29" s="27">
        <f t="shared" si="17"/>
        <v>7.0302519999999991</v>
      </c>
      <c r="G29" s="27">
        <f t="shared" ref="G29:H29" si="18">G22</f>
        <v>14.046662000000001</v>
      </c>
      <c r="H29" s="27">
        <f t="shared" si="18"/>
        <v>17.821000000000002</v>
      </c>
      <c r="I29" s="27">
        <f t="shared" ref="I29:P29" si="19">I22</f>
        <v>15.898</v>
      </c>
      <c r="J29" s="27">
        <f t="shared" si="19"/>
        <v>2.9280000000000004</v>
      </c>
      <c r="K29" s="27">
        <f t="shared" si="19"/>
        <v>15.926323999999999</v>
      </c>
      <c r="L29" s="27">
        <f t="shared" si="19"/>
        <v>28.724104000000004</v>
      </c>
      <c r="M29" s="27">
        <f t="shared" si="19"/>
        <v>14.648113000000002</v>
      </c>
      <c r="N29" s="27">
        <f t="shared" si="19"/>
        <v>21.034859999999998</v>
      </c>
      <c r="O29" s="27">
        <f t="shared" si="19"/>
        <v>17.816927999999997</v>
      </c>
      <c r="P29" s="27">
        <f t="shared" si="19"/>
        <v>27.385251</v>
      </c>
      <c r="Q29" s="27">
        <f t="shared" ref="Q29:V29" si="20">Q22</f>
        <v>13.665982000000003</v>
      </c>
      <c r="R29" s="27">
        <f t="shared" si="20"/>
        <v>11.508140999999998</v>
      </c>
      <c r="S29" s="27">
        <f t="shared" si="20"/>
        <v>17.947067000000001</v>
      </c>
      <c r="T29" s="27">
        <f t="shared" si="20"/>
        <v>30.139881000000003</v>
      </c>
      <c r="U29" s="27">
        <f t="shared" si="20"/>
        <v>32.017313999999999</v>
      </c>
      <c r="V29" s="27">
        <f t="shared" si="20"/>
        <v>13.852535</v>
      </c>
    </row>
    <row r="30" spans="1:22" s="33" customFormat="1">
      <c r="A30" s="20" t="s">
        <v>63</v>
      </c>
      <c r="B30" s="20">
        <v>-12.752000000000001</v>
      </c>
      <c r="C30" s="20">
        <f>-37.511-D30-E30-F30</f>
        <v>-7.5580000000000052</v>
      </c>
      <c r="D30" s="20">
        <v>-10.318</v>
      </c>
      <c r="E30" s="20">
        <v>-9.4149999999999991</v>
      </c>
      <c r="F30" s="20">
        <v>-10.220000000000001</v>
      </c>
      <c r="G30" s="20">
        <v>-10.664999999999996</v>
      </c>
      <c r="H30" s="20">
        <v>-11.087</v>
      </c>
      <c r="I30" s="20">
        <v>-11.023</v>
      </c>
      <c r="J30" s="20">
        <v>-10.439</v>
      </c>
      <c r="K30" s="20">
        <v>-10.930999999999997</v>
      </c>
      <c r="L30" s="20">
        <v>-10.079000000000001</v>
      </c>
      <c r="M30" s="20">
        <v>-10.288</v>
      </c>
      <c r="N30" s="20">
        <v>-10.334</v>
      </c>
      <c r="O30" s="20">
        <f>-40.04-P30-Q30-R30</f>
        <v>-9.9719999999999978</v>
      </c>
      <c r="P30" s="20">
        <v>-9.9789999999999992</v>
      </c>
      <c r="Q30" s="20">
        <v>-10.045</v>
      </c>
      <c r="R30" s="20">
        <v>-10.044</v>
      </c>
      <c r="S30" s="20">
        <v>0</v>
      </c>
      <c r="T30" s="20">
        <v>0</v>
      </c>
      <c r="U30" s="20">
        <v>0</v>
      </c>
      <c r="V30" s="20">
        <v>0</v>
      </c>
    </row>
    <row r="31" spans="1:22" s="33" customFormat="1">
      <c r="A31" s="20" t="s">
        <v>64</v>
      </c>
      <c r="B31" s="20">
        <v>0</v>
      </c>
      <c r="C31" s="20">
        <v>0</v>
      </c>
      <c r="D31" s="20">
        <v>0</v>
      </c>
      <c r="E31" s="20">
        <v>0</v>
      </c>
      <c r="F31" s="20">
        <v>0</v>
      </c>
      <c r="G31" s="20">
        <v>0</v>
      </c>
      <c r="H31" s="20">
        <v>0</v>
      </c>
      <c r="I31" s="20">
        <v>0</v>
      </c>
      <c r="J31" s="20">
        <v>-0.11600000000000001</v>
      </c>
      <c r="K31" s="20">
        <v>0</v>
      </c>
      <c r="L31" s="20">
        <v>0</v>
      </c>
      <c r="M31" s="20">
        <v>0</v>
      </c>
      <c r="N31" s="20">
        <v>0</v>
      </c>
      <c r="O31" s="20">
        <v>0</v>
      </c>
      <c r="P31" s="20">
        <v>0</v>
      </c>
      <c r="Q31" s="20">
        <v>0</v>
      </c>
      <c r="R31" s="20">
        <v>0</v>
      </c>
      <c r="S31" s="20">
        <v>0</v>
      </c>
      <c r="T31" s="20">
        <v>0</v>
      </c>
      <c r="U31" s="20">
        <v>0</v>
      </c>
      <c r="V31" s="20">
        <v>0</v>
      </c>
    </row>
    <row r="32" spans="1:22" s="33" customFormat="1">
      <c r="A32" s="20" t="s">
        <v>65</v>
      </c>
      <c r="B32" s="20">
        <f>-1.002+1.818+0.129-2.056</f>
        <v>-1.111</v>
      </c>
      <c r="C32" s="20">
        <f>-5.683-1.055-1.78+1.685-1.235-D32-E32-F32</f>
        <v>6.4660000000000011</v>
      </c>
      <c r="D32" s="20">
        <f>-5.873-2.765+1.471-2.401+0.617</f>
        <v>-8.9510000000000005</v>
      </c>
      <c r="E32" s="20">
        <f>0.18+3.128-1.471-4.366</f>
        <v>-2.5289999999999995</v>
      </c>
      <c r="F32" s="20">
        <f>-0.325-8.241+5.512</f>
        <v>-3.0539999999999994</v>
      </c>
      <c r="G32" s="20">
        <f>-0.306-2.651-1.78-1.167-H32-I32-J32</f>
        <v>9.5769999999999982</v>
      </c>
      <c r="H32" s="20">
        <f>-0.261-9.708-1.429</f>
        <v>-11.398</v>
      </c>
      <c r="I32" s="20">
        <f>0.199-0.976+3.474</f>
        <v>2.6970000000000001</v>
      </c>
      <c r="J32" s="20">
        <f>-0.629-1.402-4.749</f>
        <v>-6.7799999999999994</v>
      </c>
      <c r="K32" s="20">
        <v>0</v>
      </c>
      <c r="L32" s="20">
        <f>1.23-0.069-0.308</f>
        <v>0.85299999999999998</v>
      </c>
      <c r="M32" s="20">
        <f>3.218-2.168-2.417</f>
        <v>-1.367</v>
      </c>
      <c r="N32" s="20">
        <f>-0.781-6.078+4.02</f>
        <v>-2.8390000000000004</v>
      </c>
      <c r="O32" s="20">
        <v>0</v>
      </c>
      <c r="P32" s="20">
        <f>-0.154+3.117-3.984</f>
        <v>-1.0209999999999999</v>
      </c>
      <c r="Q32" s="20">
        <v>0</v>
      </c>
      <c r="R32" s="20">
        <f>-0.056-1.648+1.979</f>
        <v>0.27500000000000013</v>
      </c>
      <c r="S32" s="20">
        <v>0</v>
      </c>
      <c r="T32" s="20">
        <v>0</v>
      </c>
      <c r="U32" s="20">
        <v>0</v>
      </c>
      <c r="V32" s="20">
        <v>0</v>
      </c>
    </row>
    <row r="33" spans="1:27"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row>
    <row r="34" spans="1:27"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row>
    <row r="35" spans="1:27" s="27" customFormat="1">
      <c r="A35" s="27" t="s">
        <v>67</v>
      </c>
      <c r="B35" s="27">
        <v>4.0609999999999999</v>
      </c>
      <c r="C35" s="27">
        <f>29.369-D35-E35-F35</f>
        <v>11.870999999999999</v>
      </c>
      <c r="D35" s="27">
        <f>17.498-E35-F35</f>
        <v>13.887</v>
      </c>
      <c r="E35" s="27">
        <f>3.611-F35</f>
        <v>9.543000000000001</v>
      </c>
      <c r="F35" s="27">
        <v>-5.9320000000000004</v>
      </c>
      <c r="G35" s="27">
        <f>16.404-H35-I35-J35</f>
        <v>10.088000000000001</v>
      </c>
      <c r="H35" s="27">
        <v>8.1159999999999997</v>
      </c>
      <c r="I35" s="27">
        <v>5.4290000000000003</v>
      </c>
      <c r="J35" s="27">
        <v>-7.2290000000000001</v>
      </c>
      <c r="K35" s="27">
        <v>5.2800000000000011</v>
      </c>
      <c r="L35" s="27">
        <v>18.8</v>
      </c>
      <c r="M35" s="27">
        <v>6.9219999999999997</v>
      </c>
      <c r="N35" s="27">
        <v>10.488</v>
      </c>
      <c r="O35" s="27">
        <v>18.856999999999999</v>
      </c>
      <c r="P35" s="27">
        <v>18.856999999999999</v>
      </c>
      <c r="Q35" s="27">
        <v>3.2669999999999999</v>
      </c>
      <c r="R35" s="27">
        <v>1.2789999999999999</v>
      </c>
      <c r="S35" s="27">
        <v>10.687999999999995</v>
      </c>
      <c r="T35" s="27">
        <v>21.733000000000001</v>
      </c>
      <c r="U35" s="27">
        <v>23.291</v>
      </c>
      <c r="V35" s="27">
        <v>4.9530000000000003</v>
      </c>
    </row>
    <row r="36" spans="1:27" s="33" customFormat="1">
      <c r="A36" s="20" t="s">
        <v>68</v>
      </c>
      <c r="B36" s="29">
        <v>-9.1020000000000003</v>
      </c>
      <c r="C36" s="29">
        <f>-4.891-D36-E36-F36</f>
        <v>-2.8879999999999999</v>
      </c>
      <c r="D36" s="29">
        <v>-4.9000000000000002E-2</v>
      </c>
      <c r="E36" s="29">
        <f>-1.954-F36</f>
        <v>-2.78</v>
      </c>
      <c r="F36" s="29">
        <v>0.82599999999999996</v>
      </c>
      <c r="G36" s="29">
        <f>-1.52-H36-I36-J36</f>
        <v>0.86299999999999999</v>
      </c>
      <c r="H36" s="29">
        <v>-0.13100000000000001</v>
      </c>
      <c r="I36" s="29">
        <v>-0.98599999999999999</v>
      </c>
      <c r="J36" s="29">
        <v>-1.266</v>
      </c>
      <c r="K36" s="29">
        <v>-0.97599999999999998</v>
      </c>
      <c r="L36" s="29">
        <v>-0.08</v>
      </c>
      <c r="M36" s="29">
        <v>-2.266</v>
      </c>
      <c r="N36" s="29">
        <v>-4.2000000000000003E-2</v>
      </c>
      <c r="O36" s="29">
        <v>-0.32700000000000001</v>
      </c>
      <c r="P36" s="29">
        <v>-0.32700000000000001</v>
      </c>
      <c r="Q36" s="29">
        <v>-1.498</v>
      </c>
      <c r="R36" s="29">
        <v>-0.45900000000000002</v>
      </c>
      <c r="S36" s="29">
        <v>-3.9819999999999998</v>
      </c>
      <c r="T36" s="29">
        <v>-0.314</v>
      </c>
      <c r="U36" s="29">
        <v>-0.56499999999999995</v>
      </c>
      <c r="V36" s="29">
        <v>-0.34799999999999998</v>
      </c>
    </row>
    <row r="37" spans="1:27" s="27" customFormat="1">
      <c r="A37" s="27" t="s">
        <v>69</v>
      </c>
      <c r="B37" s="27">
        <f t="shared" ref="B37:V37" si="21">+B35+B36</f>
        <v>-5.0410000000000004</v>
      </c>
      <c r="C37" s="27">
        <f t="shared" si="21"/>
        <v>8.9829999999999988</v>
      </c>
      <c r="D37" s="27">
        <f t="shared" si="21"/>
        <v>13.838000000000001</v>
      </c>
      <c r="E37" s="27">
        <f t="shared" si="21"/>
        <v>6.7630000000000017</v>
      </c>
      <c r="F37" s="27">
        <f t="shared" si="21"/>
        <v>-5.1060000000000008</v>
      </c>
      <c r="G37" s="27">
        <f t="shared" si="21"/>
        <v>10.951000000000001</v>
      </c>
      <c r="H37" s="27">
        <f t="shared" si="21"/>
        <v>7.9849999999999994</v>
      </c>
      <c r="I37" s="27">
        <f t="shared" si="21"/>
        <v>4.4430000000000005</v>
      </c>
      <c r="J37" s="27">
        <f t="shared" si="21"/>
        <v>-8.495000000000001</v>
      </c>
      <c r="K37" s="27">
        <f t="shared" si="21"/>
        <v>4.3040000000000012</v>
      </c>
      <c r="L37" s="27">
        <f t="shared" si="21"/>
        <v>18.720000000000002</v>
      </c>
      <c r="M37" s="27">
        <f t="shared" si="21"/>
        <v>4.6559999999999997</v>
      </c>
      <c r="N37" s="27">
        <f t="shared" si="21"/>
        <v>10.446</v>
      </c>
      <c r="O37" s="27">
        <f t="shared" si="21"/>
        <v>18.529999999999998</v>
      </c>
      <c r="P37" s="27">
        <f t="shared" si="21"/>
        <v>18.529999999999998</v>
      </c>
      <c r="Q37" s="27">
        <f t="shared" si="21"/>
        <v>1.7689999999999999</v>
      </c>
      <c r="R37" s="27">
        <f t="shared" si="21"/>
        <v>0.81999999999999984</v>
      </c>
      <c r="S37" s="27">
        <f t="shared" si="21"/>
        <v>6.705999999999996</v>
      </c>
      <c r="T37" s="27">
        <f t="shared" si="21"/>
        <v>21.419</v>
      </c>
      <c r="U37" s="27">
        <f t="shared" si="21"/>
        <v>22.725999999999999</v>
      </c>
      <c r="V37" s="27">
        <f t="shared" si="21"/>
        <v>4.6050000000000004</v>
      </c>
    </row>
    <row r="38" spans="1:27">
      <c r="B38" s="33"/>
      <c r="C38" s="33"/>
      <c r="D38" s="33"/>
      <c r="E38" s="33"/>
      <c r="F38" s="33"/>
      <c r="G38" s="33"/>
      <c r="H38" s="33"/>
      <c r="I38" s="33"/>
      <c r="J38" s="33"/>
    </row>
    <row r="39" spans="1:27" s="35" customFormat="1">
      <c r="A39" s="34" t="s">
        <v>70</v>
      </c>
      <c r="B39" s="20">
        <v>0</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0</v>
      </c>
      <c r="T39" s="20"/>
      <c r="U39" s="20"/>
      <c r="V39" s="20"/>
    </row>
    <row r="40" spans="1:27" s="35" customFormat="1">
      <c r="A40" s="34" t="s">
        <v>71</v>
      </c>
      <c r="B40" s="20">
        <f>C40-4.346</f>
        <v>795.68500000000006</v>
      </c>
      <c r="C40" s="20">
        <f>G40+800-664.62</f>
        <v>800.03100000000006</v>
      </c>
      <c r="D40" s="20">
        <f>E40-8.5</f>
        <v>651.73900000000003</v>
      </c>
      <c r="E40" s="20">
        <f>F40-4.412</f>
        <v>660.23900000000003</v>
      </c>
      <c r="F40" s="20">
        <v>664.65100000000007</v>
      </c>
      <c r="G40" s="20">
        <v>664.65100000000007</v>
      </c>
      <c r="H40" s="20">
        <v>668.12300000000005</v>
      </c>
      <c r="I40" s="20">
        <v>670.923</v>
      </c>
      <c r="J40" s="20">
        <v>671.59100000000001</v>
      </c>
      <c r="K40" s="20">
        <v>671.59100000000001</v>
      </c>
      <c r="L40" s="20">
        <v>671.59100000000001</v>
      </c>
      <c r="M40" s="20">
        <f>671.212-0.889</f>
        <v>670.32299999999998</v>
      </c>
      <c r="N40" s="20">
        <f>O40-10</f>
        <v>671.21199999999999</v>
      </c>
      <c r="O40" s="20">
        <f>P40</f>
        <v>681.21199999999999</v>
      </c>
      <c r="P40" s="20">
        <v>681.21199999999999</v>
      </c>
      <c r="Q40" s="20">
        <v>695.21199999999999</v>
      </c>
      <c r="R40" s="20">
        <v>698.21199999999999</v>
      </c>
      <c r="S40" s="20">
        <v>700.41499999999996</v>
      </c>
      <c r="T40" s="20"/>
      <c r="U40" s="20"/>
      <c r="V40" s="20"/>
      <c r="W40" s="89"/>
      <c r="X40" s="33"/>
    </row>
    <row r="41" spans="1:27" s="35" customFormat="1">
      <c r="A41" s="34" t="s">
        <v>72</v>
      </c>
      <c r="B41" s="20">
        <f t="shared" ref="B41:S41" si="22">B39+B40</f>
        <v>795.68500000000006</v>
      </c>
      <c r="C41" s="20">
        <f t="shared" si="22"/>
        <v>800.03100000000006</v>
      </c>
      <c r="D41" s="20">
        <f t="shared" si="22"/>
        <v>651.73900000000003</v>
      </c>
      <c r="E41" s="20">
        <f t="shared" si="22"/>
        <v>660.23900000000003</v>
      </c>
      <c r="F41" s="20">
        <f t="shared" si="22"/>
        <v>664.65100000000007</v>
      </c>
      <c r="G41" s="20">
        <f t="shared" si="22"/>
        <v>664.65100000000007</v>
      </c>
      <c r="H41" s="20">
        <f t="shared" si="22"/>
        <v>668.12300000000005</v>
      </c>
      <c r="I41" s="20">
        <f t="shared" si="22"/>
        <v>670.923</v>
      </c>
      <c r="J41" s="20">
        <f t="shared" si="22"/>
        <v>671.59100000000001</v>
      </c>
      <c r="K41" s="20">
        <f t="shared" si="22"/>
        <v>671.59100000000001</v>
      </c>
      <c r="L41" s="20">
        <f t="shared" si="22"/>
        <v>671.59100000000001</v>
      </c>
      <c r="M41" s="20">
        <f t="shared" si="22"/>
        <v>670.32299999999998</v>
      </c>
      <c r="N41" s="20">
        <f t="shared" si="22"/>
        <v>671.21199999999999</v>
      </c>
      <c r="O41" s="20">
        <f t="shared" si="22"/>
        <v>681.21199999999999</v>
      </c>
      <c r="P41" s="20">
        <f t="shared" si="22"/>
        <v>681.21199999999999</v>
      </c>
      <c r="Q41" s="20">
        <f t="shared" si="22"/>
        <v>695.21199999999999</v>
      </c>
      <c r="R41" s="20">
        <f t="shared" si="22"/>
        <v>698.21199999999999</v>
      </c>
      <c r="S41" s="20">
        <f t="shared" si="22"/>
        <v>700.41499999999996</v>
      </c>
      <c r="T41" s="20"/>
      <c r="U41" s="20"/>
      <c r="V41" s="20"/>
      <c r="X41" s="33"/>
    </row>
    <row r="42" spans="1:27" s="35" customFormat="1">
      <c r="A42" s="34" t="s">
        <v>73</v>
      </c>
      <c r="B42" s="36">
        <v>0</v>
      </c>
      <c r="C42" s="36">
        <v>0</v>
      </c>
      <c r="D42" s="36">
        <v>0</v>
      </c>
      <c r="E42" s="36">
        <v>0</v>
      </c>
      <c r="F42" s="36">
        <v>0</v>
      </c>
      <c r="G42" s="36">
        <v>0</v>
      </c>
      <c r="H42" s="36">
        <v>0</v>
      </c>
      <c r="I42" s="36">
        <v>0</v>
      </c>
      <c r="J42" s="36">
        <v>0</v>
      </c>
      <c r="K42" s="36">
        <v>0</v>
      </c>
      <c r="L42" s="36">
        <v>0</v>
      </c>
      <c r="M42" s="36">
        <v>0</v>
      </c>
      <c r="N42" s="36">
        <v>0</v>
      </c>
      <c r="O42" s="36">
        <v>0</v>
      </c>
      <c r="P42" s="36">
        <v>0</v>
      </c>
      <c r="Q42" s="36">
        <v>0</v>
      </c>
      <c r="R42" s="36">
        <v>0</v>
      </c>
      <c r="S42" s="36">
        <v>0</v>
      </c>
      <c r="T42" s="36"/>
      <c r="U42" s="36"/>
      <c r="V42" s="36"/>
      <c r="X42" s="33"/>
      <c r="Z42" s="33"/>
    </row>
    <row r="43" spans="1:27">
      <c r="B43" s="35"/>
      <c r="C43" s="35"/>
      <c r="D43" s="35"/>
      <c r="E43" s="35"/>
      <c r="F43" s="35"/>
      <c r="G43" s="35"/>
      <c r="H43" s="35"/>
      <c r="I43" s="35"/>
      <c r="J43" s="35"/>
      <c r="K43" s="35"/>
      <c r="L43" s="35"/>
      <c r="M43" s="35"/>
      <c r="N43" s="35"/>
      <c r="O43" s="35"/>
      <c r="P43" s="35"/>
      <c r="Q43" s="35"/>
      <c r="R43" s="35"/>
      <c r="S43" s="35"/>
      <c r="Z43" s="33"/>
    </row>
    <row r="44" spans="1:27">
      <c r="A44" s="19" t="s">
        <v>74</v>
      </c>
      <c r="B44" s="28">
        <v>0.20599999999999999</v>
      </c>
      <c r="C44" s="28">
        <v>0.14099999999999999</v>
      </c>
      <c r="D44" s="28">
        <v>5.899</v>
      </c>
      <c r="E44" s="28">
        <v>1.7090000000000001</v>
      </c>
      <c r="F44" s="28">
        <v>0.92100000000000004</v>
      </c>
      <c r="G44" s="28">
        <v>0</v>
      </c>
      <c r="H44" s="28">
        <v>0.23899999999999999</v>
      </c>
      <c r="I44" s="28">
        <v>0.14099999999999999</v>
      </c>
      <c r="J44" s="28">
        <v>0.255</v>
      </c>
      <c r="K44" s="28">
        <v>0.3</v>
      </c>
      <c r="L44" s="28">
        <v>0.248</v>
      </c>
      <c r="M44" s="28">
        <v>0.15</v>
      </c>
      <c r="N44" s="28">
        <v>0.255</v>
      </c>
      <c r="O44" s="28">
        <v>0.22600000000000001</v>
      </c>
      <c r="P44" s="28">
        <v>0</v>
      </c>
      <c r="Q44" s="28">
        <v>0</v>
      </c>
      <c r="R44" s="28">
        <v>0</v>
      </c>
      <c r="S44" s="28">
        <v>0</v>
      </c>
      <c r="T44" s="28"/>
      <c r="U44" s="28"/>
      <c r="V44" s="28"/>
      <c r="Z44" s="27"/>
      <c r="AA44" s="17"/>
    </row>
    <row r="45" spans="1:27">
      <c r="Z45" s="27"/>
      <c r="AA45" s="17"/>
    </row>
    <row r="46" spans="1:27">
      <c r="A46" s="14" t="s">
        <v>75</v>
      </c>
      <c r="B46" s="33">
        <f t="shared" ref="B46:S46" si="23">SUM(B12:E12)</f>
        <v>121.44555200000001</v>
      </c>
      <c r="C46" s="33">
        <f t="shared" si="23"/>
        <v>116.22917799999999</v>
      </c>
      <c r="D46" s="33">
        <f t="shared" si="23"/>
        <v>96.559335000000004</v>
      </c>
      <c r="E46" s="33">
        <f t="shared" si="23"/>
        <v>84.734255000000005</v>
      </c>
      <c r="F46" s="33">
        <f t="shared" si="23"/>
        <v>84.424782999999991</v>
      </c>
      <c r="G46" s="33">
        <f t="shared" si="23"/>
        <v>78.409156999999993</v>
      </c>
      <c r="H46" s="33">
        <f t="shared" si="23"/>
        <v>79.208382999999998</v>
      </c>
      <c r="I46" s="33">
        <f t="shared" si="23"/>
        <v>86.729758000000004</v>
      </c>
      <c r="J46" s="33">
        <f t="shared" si="23"/>
        <v>84.576761000000005</v>
      </c>
      <c r="K46" s="33">
        <f t="shared" si="23"/>
        <v>100.95110399999999</v>
      </c>
      <c r="L46" s="33">
        <f t="shared" si="23"/>
        <v>104.00314899999999</v>
      </c>
      <c r="M46" s="33">
        <f t="shared" si="23"/>
        <v>102.37528500000001</v>
      </c>
      <c r="N46" s="33">
        <f t="shared" si="23"/>
        <v>101.098443</v>
      </c>
      <c r="O46" s="33">
        <f t="shared" si="23"/>
        <v>91.328468000000001</v>
      </c>
      <c r="P46" s="33">
        <f t="shared" si="23"/>
        <v>92.242363999999995</v>
      </c>
      <c r="Q46" s="33">
        <f t="shared" si="23"/>
        <v>95.890527999999989</v>
      </c>
      <c r="R46" s="33">
        <f t="shared" si="23"/>
        <v>115.43794299999999</v>
      </c>
      <c r="S46" s="33">
        <f t="shared" si="23"/>
        <v>121.16550000000001</v>
      </c>
      <c r="T46" s="33"/>
      <c r="U46" s="33"/>
      <c r="Z46" s="27"/>
      <c r="AA46" s="17"/>
    </row>
    <row r="47" spans="1:27">
      <c r="A47" s="14" t="s">
        <v>76</v>
      </c>
      <c r="B47" s="33">
        <f t="shared" ref="B47:C47" si="24">+B27</f>
        <v>99.69300100000001</v>
      </c>
      <c r="C47" s="33">
        <f t="shared" si="24"/>
        <v>86.992253000000005</v>
      </c>
      <c r="D47" s="33">
        <f t="shared" ref="D47:E47" si="25">+D27</f>
        <v>64.643915000000007</v>
      </c>
      <c r="E47" s="33">
        <f t="shared" si="25"/>
        <v>57.809545999999997</v>
      </c>
      <c r="F47" s="33">
        <f t="shared" ref="F47:G47" si="26">+F27</f>
        <v>54.795913999999996</v>
      </c>
      <c r="G47" s="33">
        <f t="shared" si="26"/>
        <v>50.693662000000003</v>
      </c>
      <c r="H47" s="33">
        <f t="shared" ref="H47:I47" si="27">+H27</f>
        <v>52.573324</v>
      </c>
      <c r="I47" s="33">
        <f t="shared" si="27"/>
        <v>63.476428000000006</v>
      </c>
      <c r="J47" s="33">
        <f t="shared" ref="J47:K47" si="28">+J27</f>
        <v>62.226541000000005</v>
      </c>
      <c r="K47" s="33">
        <f t="shared" si="28"/>
        <v>80.333401000000009</v>
      </c>
      <c r="L47" s="33">
        <f t="shared" ref="L47:S47" si="29">+L27</f>
        <v>82.224005000000005</v>
      </c>
      <c r="M47" s="33">
        <f t="shared" si="29"/>
        <v>80.885152000000005</v>
      </c>
      <c r="N47" s="33">
        <f t="shared" si="29"/>
        <v>79.903020999999995</v>
      </c>
      <c r="O47" s="33">
        <f t="shared" si="29"/>
        <v>70.376301999999995</v>
      </c>
      <c r="P47" s="33">
        <f t="shared" si="29"/>
        <v>70.506441000000009</v>
      </c>
      <c r="Q47" s="33">
        <f t="shared" si="29"/>
        <v>73.261071000000001</v>
      </c>
      <c r="R47" s="33">
        <f t="shared" si="29"/>
        <v>91.612403</v>
      </c>
      <c r="S47" s="33">
        <f t="shared" si="29"/>
        <v>93.956797000000009</v>
      </c>
      <c r="T47" s="33"/>
      <c r="U47" s="33"/>
    </row>
    <row r="48" spans="1:27">
      <c r="A48" s="14" t="s">
        <v>77</v>
      </c>
      <c r="B48" s="33">
        <f>+SUM(B37:E37)</f>
        <v>24.543000000000003</v>
      </c>
      <c r="C48" s="33">
        <f>+SUM(C37:F37)</f>
        <v>24.477999999999998</v>
      </c>
      <c r="D48" s="33">
        <f>+SUM(D37:G37)</f>
        <v>26.446000000000002</v>
      </c>
      <c r="E48" s="33">
        <f>+SUM(E37:H37)</f>
        <v>20.593</v>
      </c>
      <c r="F48" s="33">
        <f t="shared" ref="F48:S48" si="30">+SUM(F37:I37)</f>
        <v>18.273</v>
      </c>
      <c r="G48" s="33">
        <f t="shared" si="30"/>
        <v>14.884</v>
      </c>
      <c r="H48" s="33">
        <f t="shared" si="30"/>
        <v>8.2370000000000019</v>
      </c>
      <c r="I48" s="33">
        <f t="shared" si="30"/>
        <v>18.972000000000001</v>
      </c>
      <c r="J48" s="33">
        <f t="shared" si="30"/>
        <v>19.185000000000002</v>
      </c>
      <c r="K48" s="33">
        <f t="shared" si="30"/>
        <v>38.126000000000005</v>
      </c>
      <c r="L48" s="33">
        <f t="shared" si="30"/>
        <v>52.352000000000004</v>
      </c>
      <c r="M48" s="33">
        <f t="shared" si="30"/>
        <v>52.161999999999992</v>
      </c>
      <c r="N48" s="33">
        <f t="shared" si="30"/>
        <v>49.274999999999999</v>
      </c>
      <c r="O48" s="33">
        <f t="shared" si="30"/>
        <v>39.648999999999994</v>
      </c>
      <c r="P48" s="33">
        <f t="shared" si="30"/>
        <v>27.824999999999992</v>
      </c>
      <c r="Q48" s="33">
        <f t="shared" si="30"/>
        <v>30.713999999999995</v>
      </c>
      <c r="R48" s="33">
        <f t="shared" si="30"/>
        <v>51.670999999999992</v>
      </c>
      <c r="S48" s="33">
        <f t="shared" si="30"/>
        <v>55.456000000000003</v>
      </c>
      <c r="T48" s="33"/>
      <c r="U48" s="33"/>
    </row>
    <row r="50" spans="1:22" s="37" customFormat="1">
      <c r="A50" s="37" t="s">
        <v>78</v>
      </c>
      <c r="B50" s="37">
        <f t="shared" ref="B50:C50" si="31">+SUM(B39:B40)/B47</f>
        <v>7.9813526728922524</v>
      </c>
      <c r="C50" s="37">
        <f t="shared" si="31"/>
        <v>9.1965775389217708</v>
      </c>
      <c r="D50" s="37">
        <f t="shared" ref="D50:E50" si="32">+SUM(D39:D40)/D47</f>
        <v>10.081985288174454</v>
      </c>
      <c r="E50" s="37">
        <f t="shared" si="32"/>
        <v>11.420933836774987</v>
      </c>
      <c r="F50" s="37">
        <f t="shared" ref="F50:G50" si="33">+SUM(F39:F40)/F47</f>
        <v>12.129572288911909</v>
      </c>
      <c r="G50" s="37">
        <f t="shared" si="33"/>
        <v>13.111126199563172</v>
      </c>
      <c r="H50" s="37">
        <f t="shared" ref="H50:I50" si="34">+SUM(H39:H40)/H47</f>
        <v>12.708403219853476</v>
      </c>
      <c r="I50" s="37">
        <f t="shared" si="34"/>
        <v>10.569640119006065</v>
      </c>
      <c r="J50" s="37">
        <f t="shared" ref="J50:K50" si="35">+SUM(J39:J40)/J47</f>
        <v>10.792677677520272</v>
      </c>
      <c r="K50" s="37">
        <f t="shared" si="35"/>
        <v>8.3600469000434821</v>
      </c>
      <c r="L50" s="37">
        <f t="shared" ref="L50:M50" si="36">+SUM(L39:L40)/L47</f>
        <v>8.1678215504097604</v>
      </c>
      <c r="M50" s="37">
        <f t="shared" si="36"/>
        <v>8.2873430218688338</v>
      </c>
      <c r="N50" s="37">
        <f t="shared" ref="N50:S50" si="37">+SUM(N39:N40)/N47</f>
        <v>8.400333198916222</v>
      </c>
      <c r="O50" s="37">
        <f t="shared" si="37"/>
        <v>9.6795651468018313</v>
      </c>
      <c r="P50" s="37">
        <f t="shared" si="37"/>
        <v>9.6616988510312112</v>
      </c>
      <c r="Q50" s="37">
        <f t="shared" si="37"/>
        <v>9.4895145608777671</v>
      </c>
      <c r="R50" s="37">
        <f t="shared" si="37"/>
        <v>7.6213697833032494</v>
      </c>
      <c r="S50" s="37">
        <f t="shared" si="37"/>
        <v>7.454649608798392</v>
      </c>
    </row>
    <row r="51" spans="1:22" s="37" customFormat="1">
      <c r="A51" s="37" t="s">
        <v>79</v>
      </c>
      <c r="B51" s="37">
        <f t="shared" ref="B51:C51" si="38">+B41/B47</f>
        <v>7.9813526728922524</v>
      </c>
      <c r="C51" s="37">
        <f t="shared" si="38"/>
        <v>9.1965775389217708</v>
      </c>
      <c r="D51" s="37">
        <f t="shared" ref="D51:E51" si="39">+D41/D47</f>
        <v>10.081985288174454</v>
      </c>
      <c r="E51" s="37">
        <f t="shared" si="39"/>
        <v>11.420933836774987</v>
      </c>
      <c r="F51" s="37">
        <f t="shared" ref="F51:G51" si="40">+F41/F47</f>
        <v>12.129572288911909</v>
      </c>
      <c r="G51" s="37">
        <f t="shared" si="40"/>
        <v>13.111126199563172</v>
      </c>
      <c r="H51" s="37">
        <f t="shared" ref="H51:I51" si="41">+H41/H47</f>
        <v>12.708403219853476</v>
      </c>
      <c r="I51" s="37">
        <f t="shared" si="41"/>
        <v>10.569640119006065</v>
      </c>
      <c r="J51" s="37">
        <f t="shared" ref="J51:K51" si="42">+J41/J47</f>
        <v>10.792677677520272</v>
      </c>
      <c r="K51" s="37">
        <f t="shared" si="42"/>
        <v>8.3600469000434821</v>
      </c>
      <c r="L51" s="37">
        <f t="shared" ref="L51:S51" si="43">+L41/L47</f>
        <v>8.1678215504097604</v>
      </c>
      <c r="M51" s="37">
        <f t="shared" si="43"/>
        <v>8.2873430218688338</v>
      </c>
      <c r="N51" s="37">
        <f t="shared" si="43"/>
        <v>8.400333198916222</v>
      </c>
      <c r="O51" s="37">
        <f t="shared" si="43"/>
        <v>9.6795651468018313</v>
      </c>
      <c r="P51" s="37">
        <f t="shared" si="43"/>
        <v>9.6616988510312112</v>
      </c>
      <c r="Q51" s="37">
        <f t="shared" si="43"/>
        <v>9.4895145608777671</v>
      </c>
      <c r="R51" s="37">
        <f t="shared" si="43"/>
        <v>7.6213697833032494</v>
      </c>
      <c r="S51" s="37">
        <f t="shared" si="43"/>
        <v>7.454649608798392</v>
      </c>
    </row>
    <row r="52" spans="1:22" s="37" customFormat="1">
      <c r="A52" s="37" t="s">
        <v>80</v>
      </c>
      <c r="B52" s="37">
        <f t="shared" ref="B52:C52" si="44">+(B41-B44)/B47</f>
        <v>7.9792863292378966</v>
      </c>
      <c r="C52" s="37">
        <f t="shared" si="44"/>
        <v>9.1949567049378533</v>
      </c>
      <c r="D52" s="37">
        <f t="shared" ref="D52:E52" si="45">+(D41-D44)/D47</f>
        <v>9.9907315328906048</v>
      </c>
      <c r="E52" s="37">
        <f t="shared" si="45"/>
        <v>11.391371245157332</v>
      </c>
      <c r="F52" s="37">
        <f t="shared" ref="F52:G52" si="46">+(F41-F44)/F47</f>
        <v>12.11276446634324</v>
      </c>
      <c r="G52" s="37">
        <f t="shared" si="46"/>
        <v>13.111126199563172</v>
      </c>
      <c r="H52" s="37">
        <f t="shared" ref="H52:I52" si="47">+(H41-H44)/H47</f>
        <v>12.703857188105513</v>
      </c>
      <c r="I52" s="37">
        <f t="shared" si="47"/>
        <v>10.567418821991685</v>
      </c>
      <c r="J52" s="37">
        <f t="shared" ref="J52:K52" si="48">+(J41-J44)/J47</f>
        <v>10.788579747667479</v>
      </c>
      <c r="K52" s="37">
        <f t="shared" si="48"/>
        <v>8.3563124633550618</v>
      </c>
      <c r="L52" s="37">
        <f t="shared" ref="L52:S52" si="49">+(L41-L44)/L47</f>
        <v>8.1648053995910317</v>
      </c>
      <c r="M52" s="37">
        <f t="shared" si="49"/>
        <v>8.28548854059148</v>
      </c>
      <c r="N52" s="37">
        <f t="shared" si="49"/>
        <v>8.397141830219411</v>
      </c>
      <c r="O52" s="37">
        <f t="shared" si="49"/>
        <v>9.6763538385407077</v>
      </c>
      <c r="P52" s="37">
        <f t="shared" si="49"/>
        <v>9.6616988510312112</v>
      </c>
      <c r="Q52" s="37">
        <f t="shared" si="49"/>
        <v>9.4895145608777671</v>
      </c>
      <c r="R52" s="37">
        <f t="shared" si="49"/>
        <v>7.6213697833032494</v>
      </c>
      <c r="S52" s="37">
        <f t="shared" si="49"/>
        <v>7.454649608798392</v>
      </c>
    </row>
    <row r="53" spans="1:22" s="38" customFormat="1">
      <c r="A53" s="38" t="s">
        <v>81</v>
      </c>
      <c r="B53" s="38">
        <f t="shared" ref="B53:C53" si="50">+B48/B41</f>
        <v>3.0845120870696321E-2</v>
      </c>
      <c r="C53" s="38">
        <f t="shared" si="50"/>
        <v>3.0596314392817275E-2</v>
      </c>
      <c r="D53" s="38">
        <f t="shared" ref="D53:E53" si="51">+D48/D41</f>
        <v>4.057759317763706E-2</v>
      </c>
      <c r="E53" s="38">
        <f t="shared" si="51"/>
        <v>3.1190220511057357E-2</v>
      </c>
      <c r="F53" s="38">
        <f t="shared" ref="F53:G53" si="52">+F48/F41</f>
        <v>2.7492623948508311E-2</v>
      </c>
      <c r="G53" s="38">
        <f t="shared" si="52"/>
        <v>2.2393707374246032E-2</v>
      </c>
      <c r="H53" s="38">
        <f t="shared" ref="H53:I53" si="53">+H48/H41</f>
        <v>1.2328568242673881E-2</v>
      </c>
      <c r="I53" s="38">
        <f t="shared" si="53"/>
        <v>2.8277462540410751E-2</v>
      </c>
      <c r="J53" s="38">
        <f t="shared" ref="J53:K53" si="54">+J48/J41</f>
        <v>2.8566493595060093E-2</v>
      </c>
      <c r="K53" s="38">
        <f t="shared" si="54"/>
        <v>5.6769670826440501E-2</v>
      </c>
      <c r="L53" s="38">
        <f t="shared" ref="L53:S53" si="55">+L48/L41</f>
        <v>7.7952206030158247E-2</v>
      </c>
      <c r="M53" s="38">
        <f t="shared" si="55"/>
        <v>7.7816216958093334E-2</v>
      </c>
      <c r="N53" s="38">
        <f t="shared" si="55"/>
        <v>7.3411977139860432E-2</v>
      </c>
      <c r="O53" s="38">
        <f t="shared" si="55"/>
        <v>5.8203613559361836E-2</v>
      </c>
      <c r="P53" s="38">
        <f t="shared" si="55"/>
        <v>4.0846315097209082E-2</v>
      </c>
      <c r="Q53" s="38">
        <f t="shared" si="55"/>
        <v>4.4179329470722596E-2</v>
      </c>
      <c r="R53" s="38">
        <f t="shared" si="55"/>
        <v>7.4004743544940493E-2</v>
      </c>
      <c r="S53" s="38">
        <f t="shared" si="55"/>
        <v>7.9175917134841498E-2</v>
      </c>
    </row>
    <row r="54" spans="1:22" s="38" customFormat="1">
      <c r="A54" s="39" t="s">
        <v>82</v>
      </c>
      <c r="B54" s="40">
        <v>10</v>
      </c>
      <c r="C54" s="40">
        <v>10</v>
      </c>
      <c r="D54" s="40">
        <v>10</v>
      </c>
      <c r="E54" s="40">
        <v>10</v>
      </c>
      <c r="F54" s="40">
        <v>10</v>
      </c>
      <c r="G54" s="40">
        <v>10</v>
      </c>
      <c r="H54" s="40">
        <v>10</v>
      </c>
      <c r="I54" s="40">
        <v>10</v>
      </c>
      <c r="J54" s="40">
        <v>10</v>
      </c>
      <c r="K54" s="40">
        <v>10</v>
      </c>
      <c r="L54" s="40">
        <v>10</v>
      </c>
      <c r="M54" s="40">
        <v>10</v>
      </c>
      <c r="N54" s="40">
        <v>10</v>
      </c>
      <c r="O54" s="40">
        <v>10</v>
      </c>
      <c r="P54" s="40">
        <v>10</v>
      </c>
      <c r="Q54" s="40">
        <v>10</v>
      </c>
      <c r="R54" s="40">
        <v>10</v>
      </c>
      <c r="S54" s="40">
        <v>10</v>
      </c>
      <c r="T54" s="40"/>
      <c r="U54" s="40"/>
      <c r="V54" s="39"/>
    </row>
    <row r="55" spans="1:22" s="38" customFormat="1">
      <c r="A55" s="38" t="s">
        <v>83</v>
      </c>
      <c r="B55" s="41" t="str">
        <f t="shared" ref="B55:C55" si="56">IF(B42=0,IF(B54="","","*"&amp;TEXT(B54,"0.0x")),(B41+B42-B44)/B47)</f>
        <v>*10.0x</v>
      </c>
      <c r="C55" s="41" t="str">
        <f t="shared" si="56"/>
        <v>*10.0x</v>
      </c>
      <c r="D55" s="41" t="str">
        <f t="shared" ref="D55:E55" si="57">IF(D42=0,IF(D54="","","*"&amp;TEXT(D54,"0.0x")),(D41+D42-D44)/D47)</f>
        <v>*10.0x</v>
      </c>
      <c r="E55" s="41" t="str">
        <f t="shared" si="57"/>
        <v>*10.0x</v>
      </c>
      <c r="F55" s="41" t="str">
        <f t="shared" ref="F55:G55" si="58">IF(F42=0,IF(F54="","","*"&amp;TEXT(F54,"0.0x")),(F41+F42-F44)/F47)</f>
        <v>*10.0x</v>
      </c>
      <c r="G55" s="41" t="str">
        <f t="shared" si="58"/>
        <v>*10.0x</v>
      </c>
      <c r="H55" s="41" t="str">
        <f t="shared" ref="H55:I55" si="59">IF(H42=0,IF(H54="","","*"&amp;TEXT(H54,"0.0x")),(H41+H42-H44)/H47)</f>
        <v>*10.0x</v>
      </c>
      <c r="I55" s="41" t="str">
        <f t="shared" si="59"/>
        <v>*10.0x</v>
      </c>
      <c r="J55" s="41" t="str">
        <f t="shared" ref="J55:K55" si="60">IF(J42=0,IF(J54="","","*"&amp;TEXT(J54,"0.0x")),(J41+J42-J44)/J47)</f>
        <v>*10.0x</v>
      </c>
      <c r="K55" s="41" t="str">
        <f t="shared" si="60"/>
        <v>*10.0x</v>
      </c>
      <c r="L55" s="41" t="str">
        <f t="shared" ref="L55:S55" si="61">IF(L42=0,IF(L54="","","*"&amp;TEXT(L54,"0.0x")),(L41+L42-L44)/L47)</f>
        <v>*10.0x</v>
      </c>
      <c r="M55" s="41" t="str">
        <f t="shared" si="61"/>
        <v>*10.0x</v>
      </c>
      <c r="N55" s="41" t="str">
        <f t="shared" si="61"/>
        <v>*10.0x</v>
      </c>
      <c r="O55" s="41" t="str">
        <f t="shared" si="61"/>
        <v>*10.0x</v>
      </c>
      <c r="P55" s="41" t="str">
        <f t="shared" si="61"/>
        <v>*10.0x</v>
      </c>
      <c r="Q55" s="41" t="str">
        <f t="shared" si="61"/>
        <v>*10.0x</v>
      </c>
      <c r="R55" s="41" t="str">
        <f t="shared" si="61"/>
        <v>*10.0x</v>
      </c>
      <c r="S55" s="41" t="str">
        <f t="shared" si="61"/>
        <v>*10.0x</v>
      </c>
      <c r="T55" s="41"/>
      <c r="U55" s="41"/>
      <c r="V55" s="41"/>
    </row>
    <row r="56" spans="1:22">
      <c r="U56" s="42"/>
    </row>
    <row r="57" spans="1:22" ht="80.25" customHeight="1">
      <c r="A57" s="43" t="s">
        <v>84</v>
      </c>
      <c r="B57" s="44" t="s">
        <v>289</v>
      </c>
      <c r="C57" s="44" t="s">
        <v>289</v>
      </c>
      <c r="D57" s="44" t="s">
        <v>289</v>
      </c>
      <c r="E57" s="44" t="s">
        <v>289</v>
      </c>
      <c r="F57" s="44" t="s">
        <v>90</v>
      </c>
      <c r="G57" s="44" t="s">
        <v>90</v>
      </c>
      <c r="H57" s="44"/>
      <c r="I57" s="44"/>
      <c r="J57" s="44"/>
      <c r="K57" s="44" t="s">
        <v>90</v>
      </c>
      <c r="L57" s="44"/>
      <c r="M57" s="44" t="s">
        <v>90</v>
      </c>
      <c r="N57" s="44" t="s">
        <v>90</v>
      </c>
      <c r="O57" s="44" t="s">
        <v>90</v>
      </c>
      <c r="P57" s="44"/>
      <c r="Q57" s="44"/>
      <c r="R57" s="44"/>
      <c r="S57" s="44"/>
      <c r="T57" s="44"/>
      <c r="U57" s="44"/>
      <c r="V57" s="44"/>
    </row>
    <row r="58" spans="1:22">
      <c r="A58" s="45"/>
      <c r="B58" s="42"/>
      <c r="C58" s="42"/>
      <c r="D58" s="42"/>
      <c r="E58" s="42"/>
      <c r="F58" s="42"/>
      <c r="G58" s="42"/>
      <c r="H58" s="42"/>
      <c r="I58" s="42"/>
      <c r="J58" s="42"/>
      <c r="K58" s="42"/>
      <c r="L58" s="42"/>
      <c r="M58" s="42"/>
      <c r="N58" s="42"/>
      <c r="O58" s="42"/>
      <c r="P58" s="42"/>
      <c r="Q58" s="42"/>
    </row>
    <row r="59" spans="1:22">
      <c r="A59" s="45"/>
    </row>
  </sheetData>
  <pageMargins left="0.7" right="0.7" top="0.75" bottom="0.75" header="0.3" footer="0.3"/>
  <pageSetup orientation="portrait" r:id="rId1"/>
  <ignoredErrors>
    <ignoredError sqref="K46:S49 H46:J54 G46 F24:O25 E46:F48" formulaRange="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FF0000"/>
  </sheetPr>
  <dimension ref="A2:N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ColWidth="9.109375" defaultRowHeight="13.8"/>
  <cols>
    <col min="1" max="1" width="22.6640625" style="14" customWidth="1"/>
    <col min="2" max="14" width="10.6640625" style="14" customWidth="1"/>
    <col min="15" max="16384" width="9.109375" style="14"/>
  </cols>
  <sheetData>
    <row r="2" spans="1:14">
      <c r="A2" s="13" t="s">
        <v>44</v>
      </c>
      <c r="B2" s="14" t="s">
        <v>11</v>
      </c>
    </row>
    <row r="3" spans="1:14" s="16" customFormat="1">
      <c r="A3" s="15" t="s">
        <v>45</v>
      </c>
      <c r="B3" s="16" t="s">
        <v>123</v>
      </c>
    </row>
    <row r="4" spans="1:14">
      <c r="A4" s="13" t="s">
        <v>2</v>
      </c>
      <c r="B4" s="14" t="s">
        <v>4</v>
      </c>
    </row>
    <row r="5" spans="1:14">
      <c r="A5" s="13" t="s">
        <v>46</v>
      </c>
    </row>
    <row r="6" spans="1:14">
      <c r="A6" s="13" t="s">
        <v>47</v>
      </c>
      <c r="B6" s="14">
        <v>3</v>
      </c>
    </row>
    <row r="7" spans="1:14">
      <c r="A7" s="13" t="s">
        <v>48</v>
      </c>
      <c r="B7" s="14" t="e">
        <v>#N/A</v>
      </c>
    </row>
    <row r="8" spans="1:14">
      <c r="A8" s="13" t="s">
        <v>347</v>
      </c>
      <c r="B8" s="14" t="e">
        <v>#N/A</v>
      </c>
    </row>
    <row r="9" spans="1:14">
      <c r="A9" s="17"/>
    </row>
    <row r="10" spans="1:14">
      <c r="A10" s="17" t="s">
        <v>49</v>
      </c>
      <c r="B10" s="18">
        <v>43190</v>
      </c>
      <c r="C10" s="18">
        <v>43100</v>
      </c>
      <c r="D10" s="18">
        <v>43008</v>
      </c>
      <c r="E10" s="18">
        <v>42916</v>
      </c>
      <c r="F10" s="18">
        <v>42825</v>
      </c>
      <c r="G10" s="18">
        <v>42735</v>
      </c>
      <c r="H10" s="18">
        <f t="shared" ref="H10:N10" si="0">EOMONTH(G10,-3)</f>
        <v>42643</v>
      </c>
      <c r="I10" s="18">
        <f t="shared" si="0"/>
        <v>42551</v>
      </c>
      <c r="J10" s="18">
        <f t="shared" si="0"/>
        <v>42460</v>
      </c>
      <c r="K10" s="18">
        <f t="shared" si="0"/>
        <v>42369</v>
      </c>
      <c r="L10" s="18">
        <f t="shared" si="0"/>
        <v>42277</v>
      </c>
      <c r="M10" s="18">
        <f t="shared" si="0"/>
        <v>42185</v>
      </c>
      <c r="N10" s="18">
        <f t="shared" si="0"/>
        <v>42094</v>
      </c>
    </row>
    <row r="12" spans="1:14">
      <c r="A12" s="19" t="s">
        <v>50</v>
      </c>
      <c r="B12" s="20">
        <v>290.5</v>
      </c>
      <c r="C12" s="20">
        <f>1111.3-F12-E12-D12</f>
        <v>254.99999999999994</v>
      </c>
      <c r="D12" s="20">
        <v>308.8</v>
      </c>
      <c r="E12" s="20">
        <v>283.3</v>
      </c>
      <c r="F12" s="20">
        <v>264.2</v>
      </c>
      <c r="G12" s="20"/>
      <c r="H12" s="20"/>
      <c r="I12" s="20"/>
      <c r="J12" s="20"/>
      <c r="K12" s="20"/>
      <c r="L12" s="20"/>
      <c r="M12" s="20"/>
      <c r="N12" s="20"/>
    </row>
    <row r="13" spans="1:14" s="21" customFormat="1">
      <c r="A13" s="21" t="s">
        <v>51</v>
      </c>
      <c r="B13" s="21">
        <f>+B12/F12-1</f>
        <v>9.9545798637395988E-2</v>
      </c>
    </row>
    <row r="14" spans="1:14" s="24" customFormat="1">
      <c r="A14" s="22" t="s">
        <v>52</v>
      </c>
      <c r="B14" s="23"/>
      <c r="C14" s="23"/>
      <c r="D14" s="23"/>
      <c r="E14" s="23"/>
      <c r="F14" s="23"/>
      <c r="G14" s="23"/>
      <c r="H14" s="23"/>
      <c r="I14" s="23"/>
      <c r="J14" s="23"/>
      <c r="K14" s="22"/>
      <c r="L14" s="22"/>
      <c r="M14" s="22"/>
      <c r="N14" s="22"/>
    </row>
    <row r="16" spans="1:14" s="17" customFormat="1">
      <c r="A16" s="25" t="s">
        <v>53</v>
      </c>
      <c r="B16" s="26">
        <f>68.7+6.4+2.8+4.5-0.4-0.1</f>
        <v>81.900000000000006</v>
      </c>
      <c r="C16" s="26">
        <f>140.3+11.5+7+133.8-0.9-F16-E16-D16</f>
        <v>60.200000000000017</v>
      </c>
      <c r="D16" s="26">
        <f>79.3+2.4+0.9+3.9+8.9-0.3</f>
        <v>95.100000000000023</v>
      </c>
      <c r="E16" s="26">
        <f>63.3+2.2+2.8+7.4-0.2+3.9</f>
        <v>79.400000000000006</v>
      </c>
      <c r="F16" s="26">
        <f>-58+6.3+2+105.7-0.5+3.9-2.4</f>
        <v>57</v>
      </c>
      <c r="G16" s="26"/>
      <c r="H16" s="26"/>
      <c r="I16" s="26"/>
      <c r="J16" s="26"/>
      <c r="K16" s="26"/>
      <c r="L16" s="26"/>
      <c r="M16" s="26"/>
      <c r="N16" s="26"/>
    </row>
    <row r="17" spans="1:14" s="21" customFormat="1">
      <c r="A17" s="21" t="s">
        <v>54</v>
      </c>
    </row>
    <row r="18" spans="1:14" s="24" customFormat="1"/>
    <row r="19" spans="1:14" s="24" customFormat="1">
      <c r="A19" s="19" t="s">
        <v>55</v>
      </c>
      <c r="B19" s="20">
        <v>3.7</v>
      </c>
      <c r="C19" s="20">
        <v>0</v>
      </c>
      <c r="D19" s="20">
        <v>0</v>
      </c>
      <c r="E19" s="20">
        <v>0</v>
      </c>
      <c r="F19" s="20">
        <v>0</v>
      </c>
      <c r="G19" s="20"/>
      <c r="H19" s="20"/>
      <c r="I19" s="20"/>
      <c r="J19" s="20"/>
      <c r="K19" s="20"/>
      <c r="L19" s="20"/>
      <c r="M19" s="20"/>
      <c r="N19" s="20"/>
    </row>
    <row r="20" spans="1:14" s="24" customFormat="1">
      <c r="A20" s="19" t="s">
        <v>56</v>
      </c>
      <c r="B20" s="20">
        <v>6.3</v>
      </c>
      <c r="C20" s="20">
        <f>11.3-F20-E20-D20</f>
        <v>-0.29999999999999938</v>
      </c>
      <c r="D20" s="20">
        <v>2.1</v>
      </c>
      <c r="E20" s="20">
        <v>3.3</v>
      </c>
      <c r="F20" s="20">
        <v>6.2</v>
      </c>
      <c r="G20" s="20"/>
      <c r="H20" s="20"/>
      <c r="I20" s="20"/>
      <c r="J20" s="20"/>
      <c r="K20" s="20"/>
      <c r="L20" s="20"/>
      <c r="M20" s="20"/>
      <c r="N20" s="20"/>
    </row>
    <row r="21" spans="1:14" s="24" customFormat="1">
      <c r="A21" s="19" t="s">
        <v>57</v>
      </c>
      <c r="B21" s="20">
        <f>B22-B16-B19-B20</f>
        <v>1.799999999999998</v>
      </c>
      <c r="C21" s="20">
        <f>C22-C16-C19-C20</f>
        <v>5.199999999999962</v>
      </c>
      <c r="D21" s="20">
        <f>D22-D16-D19-D20</f>
        <v>-0.90000000000002567</v>
      </c>
      <c r="E21" s="20">
        <f>E22-E16-E19-E20</f>
        <v>0.99999999999999734</v>
      </c>
      <c r="F21" s="20">
        <f>F22-F16-F19-F20</f>
        <v>0.59999999999999698</v>
      </c>
      <c r="G21" s="20"/>
      <c r="H21" s="20"/>
      <c r="I21" s="20"/>
      <c r="J21" s="20"/>
      <c r="K21" s="20"/>
      <c r="L21" s="20"/>
      <c r="M21" s="20"/>
      <c r="N21" s="20"/>
    </row>
    <row r="22" spans="1:14" s="17" customFormat="1">
      <c r="A22" s="17" t="s">
        <v>58</v>
      </c>
      <c r="B22" s="27">
        <v>93.7</v>
      </c>
      <c r="C22" s="27">
        <f>308.9-F22-E22-D22</f>
        <v>65.09999999999998</v>
      </c>
      <c r="D22" s="27">
        <v>96.3</v>
      </c>
      <c r="E22" s="27">
        <v>83.7</v>
      </c>
      <c r="F22" s="27">
        <v>63.8</v>
      </c>
      <c r="G22" s="27"/>
      <c r="H22" s="27"/>
      <c r="I22" s="27"/>
      <c r="J22" s="27"/>
      <c r="K22" s="27"/>
      <c r="L22" s="27"/>
      <c r="M22" s="27"/>
      <c r="N22" s="27"/>
    </row>
    <row r="23" spans="1:14" s="17" customFormat="1">
      <c r="B23" s="27"/>
      <c r="C23" s="27"/>
      <c r="D23" s="27"/>
      <c r="E23" s="27"/>
      <c r="F23" s="27"/>
      <c r="G23" s="27"/>
      <c r="H23" s="27"/>
      <c r="I23" s="27"/>
      <c r="J23" s="27"/>
      <c r="K23" s="27"/>
      <c r="L23" s="27"/>
      <c r="M23" s="27"/>
      <c r="N23" s="27"/>
    </row>
    <row r="24" spans="1:14" s="17" customFormat="1">
      <c r="A24" s="17" t="s">
        <v>59</v>
      </c>
      <c r="B24" s="27">
        <f>SUM(B22:E22)</f>
        <v>338.79999999999995</v>
      </c>
      <c r="C24" s="27">
        <f>SUM(C22:F22)</f>
        <v>308.89999999999998</v>
      </c>
      <c r="D24" s="27"/>
      <c r="E24" s="27"/>
      <c r="F24" s="27"/>
      <c r="G24" s="27"/>
      <c r="H24" s="27"/>
      <c r="I24" s="27"/>
      <c r="J24" s="27"/>
      <c r="K24" s="27"/>
      <c r="L24" s="27"/>
      <c r="M24" s="27"/>
      <c r="N24" s="27"/>
    </row>
    <row r="25" spans="1:14" s="24" customFormat="1">
      <c r="A25" s="19" t="s">
        <v>60</v>
      </c>
      <c r="B25" s="28"/>
      <c r="C25" s="28"/>
      <c r="D25" s="28"/>
      <c r="E25" s="28"/>
      <c r="F25" s="28"/>
      <c r="G25" s="28"/>
      <c r="H25" s="28"/>
      <c r="I25" s="28"/>
      <c r="J25" s="28"/>
      <c r="K25" s="28"/>
      <c r="L25" s="28"/>
      <c r="M25" s="28"/>
      <c r="N25" s="28"/>
    </row>
    <row r="26" spans="1:14" s="24" customFormat="1">
      <c r="A26" s="19" t="s">
        <v>61</v>
      </c>
      <c r="B26" s="29">
        <f>B27-B24-B25</f>
        <v>41.800000000000068</v>
      </c>
      <c r="C26" s="29">
        <f>C27-C24-C25</f>
        <v>45.200000000000045</v>
      </c>
      <c r="D26" s="29"/>
      <c r="E26" s="29"/>
      <c r="F26" s="29"/>
      <c r="G26" s="29"/>
      <c r="H26" s="29"/>
      <c r="I26" s="29"/>
      <c r="J26" s="29"/>
      <c r="K26" s="29"/>
      <c r="L26" s="30"/>
      <c r="M26" s="30"/>
      <c r="N26" s="30"/>
    </row>
    <row r="27" spans="1:14" s="32" customFormat="1">
      <c r="A27" s="17" t="s">
        <v>62</v>
      </c>
      <c r="B27" s="27">
        <v>380.6</v>
      </c>
      <c r="C27" s="27">
        <v>354.1</v>
      </c>
      <c r="D27" s="27">
        <v>338.25</v>
      </c>
      <c r="E27" s="27"/>
      <c r="F27" s="27"/>
      <c r="G27" s="27"/>
      <c r="H27" s="27"/>
      <c r="I27" s="27"/>
      <c r="J27" s="27"/>
      <c r="K27" s="27"/>
      <c r="L27" s="31"/>
      <c r="M27" s="31"/>
      <c r="N27" s="31"/>
    </row>
    <row r="28" spans="1:14" s="24" customFormat="1"/>
    <row r="29" spans="1:14" s="17" customFormat="1">
      <c r="A29" s="17" t="s">
        <v>58</v>
      </c>
      <c r="B29" s="27"/>
      <c r="C29" s="27"/>
      <c r="D29" s="27"/>
      <c r="E29" s="27"/>
      <c r="F29" s="27"/>
      <c r="G29" s="27"/>
      <c r="H29" s="27"/>
      <c r="I29" s="27"/>
      <c r="J29" s="27"/>
      <c r="K29" s="27"/>
      <c r="L29" s="27"/>
      <c r="M29" s="27"/>
      <c r="N29" s="27"/>
    </row>
    <row r="30" spans="1:14" s="33" customFormat="1">
      <c r="A30" s="20" t="s">
        <v>63</v>
      </c>
      <c r="B30" s="20">
        <v>-30.7</v>
      </c>
      <c r="C30" s="20">
        <f>-71.1-F30-E30-D30</f>
        <v>-16.699999999999985</v>
      </c>
      <c r="D30" s="20">
        <f>-54.4-F30-E30</f>
        <v>-30.500000000000004</v>
      </c>
      <c r="E30" s="20">
        <f>-23.9-F30</f>
        <v>-14.7</v>
      </c>
      <c r="F30" s="20">
        <v>-9.1999999999999993</v>
      </c>
      <c r="G30" s="20"/>
      <c r="H30" s="20"/>
      <c r="I30" s="20"/>
      <c r="J30" s="20"/>
      <c r="K30" s="20"/>
      <c r="L30" s="20"/>
      <c r="M30" s="20"/>
      <c r="N30" s="20"/>
    </row>
    <row r="31" spans="1:14" s="33" customFormat="1">
      <c r="A31" s="20" t="s">
        <v>64</v>
      </c>
      <c r="B31" s="20">
        <v>-12.7</v>
      </c>
      <c r="C31" s="20">
        <f>-48-F31-E31-D31</f>
        <v>-40.5</v>
      </c>
      <c r="D31" s="20"/>
      <c r="E31" s="20">
        <v>0</v>
      </c>
      <c r="F31" s="20">
        <v>-7.5</v>
      </c>
      <c r="G31" s="20"/>
      <c r="H31" s="20"/>
      <c r="I31" s="20"/>
      <c r="J31" s="20"/>
      <c r="K31" s="20"/>
      <c r="L31" s="20"/>
      <c r="M31" s="20"/>
      <c r="N31" s="20"/>
    </row>
    <row r="32" spans="1:14" s="33" customFormat="1">
      <c r="A32" s="20" t="s">
        <v>65</v>
      </c>
      <c r="B32" s="20">
        <v>-30.6</v>
      </c>
      <c r="C32" s="20">
        <f>77.6-F32-E32-D32</f>
        <v>39.999999999999993</v>
      </c>
      <c r="D32" s="20">
        <f>37.6-F32-E32</f>
        <v>-10.399999999999999</v>
      </c>
      <c r="E32" s="20">
        <f>48-F32</f>
        <v>-8.2999999999999972</v>
      </c>
      <c r="F32" s="20">
        <v>56.3</v>
      </c>
      <c r="G32" s="20"/>
      <c r="H32" s="20"/>
      <c r="I32" s="20"/>
      <c r="J32" s="20"/>
      <c r="K32" s="20"/>
      <c r="L32" s="20"/>
      <c r="M32" s="20"/>
      <c r="N32" s="20"/>
    </row>
    <row r="33" spans="1:14" s="33" customFormat="1">
      <c r="A33" s="20" t="s">
        <v>66</v>
      </c>
      <c r="B33" s="20"/>
      <c r="C33" s="20"/>
      <c r="D33" s="20"/>
      <c r="E33" s="20"/>
      <c r="F33" s="20"/>
      <c r="G33" s="20"/>
      <c r="H33" s="20"/>
      <c r="I33" s="20"/>
      <c r="J33" s="20"/>
      <c r="K33" s="20"/>
      <c r="L33" s="20"/>
      <c r="M33" s="20"/>
      <c r="N33" s="20"/>
    </row>
    <row r="34" spans="1:14" s="33" customFormat="1">
      <c r="A34" s="20" t="s">
        <v>57</v>
      </c>
      <c r="B34" s="29"/>
      <c r="C34" s="29"/>
      <c r="D34" s="29"/>
      <c r="E34" s="29"/>
      <c r="F34" s="29"/>
      <c r="G34" s="29"/>
      <c r="H34" s="29"/>
      <c r="I34" s="29"/>
      <c r="J34" s="29"/>
      <c r="K34" s="29"/>
      <c r="L34" s="29"/>
      <c r="M34" s="29"/>
      <c r="N34" s="29"/>
    </row>
    <row r="35" spans="1:14" s="27" customFormat="1">
      <c r="A35" s="27" t="s">
        <v>67</v>
      </c>
      <c r="B35" s="27">
        <v>-8.1999999999999993</v>
      </c>
      <c r="C35" s="27">
        <f>95.3-F35-E35-D35</f>
        <v>80.8</v>
      </c>
      <c r="D35" s="27">
        <f>14.5-F35-E35</f>
        <v>11.999999999999996</v>
      </c>
      <c r="E35" s="27">
        <v>27.3</v>
      </c>
      <c r="F35" s="27">
        <v>-24.8</v>
      </c>
    </row>
    <row r="36" spans="1:14" s="33" customFormat="1">
      <c r="A36" s="20" t="s">
        <v>68</v>
      </c>
      <c r="B36" s="29">
        <v>-6.9</v>
      </c>
      <c r="C36" s="29">
        <f>-35.9-F36-E36-D36</f>
        <v>-16.399999999999999</v>
      </c>
      <c r="D36" s="29">
        <f>-19.5-F36-E36</f>
        <v>-8</v>
      </c>
      <c r="E36" s="29">
        <v>-7.5</v>
      </c>
      <c r="F36" s="29">
        <v>-4</v>
      </c>
      <c r="G36" s="29"/>
      <c r="H36" s="29"/>
      <c r="I36" s="29"/>
      <c r="J36" s="29"/>
      <c r="K36" s="29"/>
      <c r="L36" s="29"/>
      <c r="M36" s="29"/>
      <c r="N36" s="29"/>
    </row>
    <row r="37" spans="1:14" s="27" customFormat="1">
      <c r="A37" s="27" t="s">
        <v>69</v>
      </c>
      <c r="B37" s="27">
        <f>B35+B36</f>
        <v>-15.1</v>
      </c>
      <c r="C37" s="27">
        <f>C35+C36</f>
        <v>64.400000000000006</v>
      </c>
      <c r="D37" s="27">
        <f>D35+D36</f>
        <v>3.9999999999999964</v>
      </c>
      <c r="E37" s="27">
        <f>E35+E36</f>
        <v>19.8</v>
      </c>
      <c r="F37" s="27">
        <f>F35+F36</f>
        <v>-28.8</v>
      </c>
    </row>
    <row r="39" spans="1:14" s="35" customFormat="1">
      <c r="A39" s="34" t="s">
        <v>70</v>
      </c>
      <c r="B39" s="20">
        <v>0</v>
      </c>
      <c r="C39" s="20">
        <v>0</v>
      </c>
      <c r="D39" s="20">
        <v>0</v>
      </c>
      <c r="E39" s="20">
        <v>0</v>
      </c>
      <c r="F39" s="20"/>
      <c r="G39" s="20">
        <v>0</v>
      </c>
      <c r="H39" s="20"/>
      <c r="I39" s="20"/>
      <c r="J39" s="20"/>
      <c r="K39" s="20"/>
      <c r="L39" s="20"/>
      <c r="M39" s="20"/>
      <c r="N39" s="20"/>
    </row>
    <row r="40" spans="1:14" s="35" customFormat="1">
      <c r="A40" s="34" t="s">
        <v>71</v>
      </c>
      <c r="B40" s="20">
        <f>884.2+534.9+9+5</f>
        <v>1433.1</v>
      </c>
      <c r="C40" s="20">
        <f>886.5+517.9+9+5</f>
        <v>1418.4</v>
      </c>
      <c r="D40" s="20">
        <f>897.8+512.9+12.4+5.5</f>
        <v>1428.6</v>
      </c>
      <c r="E40" s="20">
        <f>900+100+404.1+17+12.2</f>
        <v>1433.3</v>
      </c>
      <c r="F40" s="20"/>
      <c r="G40" s="20">
        <v>1400</v>
      </c>
      <c r="H40" s="20"/>
      <c r="I40" s="20"/>
      <c r="J40" s="20"/>
      <c r="K40" s="20"/>
      <c r="L40" s="20"/>
      <c r="M40" s="20"/>
      <c r="N40" s="20"/>
    </row>
    <row r="41" spans="1:14" s="35" customFormat="1">
      <c r="A41" s="34" t="s">
        <v>72</v>
      </c>
      <c r="B41" s="20">
        <f>B39+B40+425</f>
        <v>1858.1</v>
      </c>
      <c r="C41" s="20">
        <f>C39+C40+425</f>
        <v>1843.4</v>
      </c>
      <c r="D41" s="20">
        <f>D39+D40+425</f>
        <v>1853.6</v>
      </c>
      <c r="E41" s="20">
        <f>E39+E40+425</f>
        <v>1858.3</v>
      </c>
      <c r="F41" s="20"/>
      <c r="G41" s="20">
        <f>G39+G40+104+425</f>
        <v>1929</v>
      </c>
      <c r="H41" s="20"/>
      <c r="I41" s="20"/>
      <c r="J41" s="20"/>
      <c r="K41" s="20"/>
      <c r="L41" s="20"/>
      <c r="M41" s="20"/>
      <c r="N41" s="20"/>
    </row>
    <row r="42" spans="1:14" s="35" customFormat="1">
      <c r="A42" s="34" t="s">
        <v>73</v>
      </c>
      <c r="B42" s="36">
        <v>1220</v>
      </c>
      <c r="C42" s="36">
        <v>1220</v>
      </c>
      <c r="D42" s="36">
        <v>1220</v>
      </c>
      <c r="E42" s="36">
        <v>1220</v>
      </c>
      <c r="F42" s="36"/>
      <c r="G42" s="36">
        <v>1220</v>
      </c>
      <c r="H42" s="36"/>
      <c r="I42" s="36"/>
      <c r="J42" s="36"/>
      <c r="K42" s="36"/>
      <c r="L42" s="36"/>
      <c r="M42" s="36"/>
      <c r="N42" s="36"/>
    </row>
    <row r="43" spans="1:14">
      <c r="B43" s="35"/>
      <c r="C43" s="35"/>
      <c r="D43" s="35"/>
      <c r="E43" s="35"/>
      <c r="F43" s="35"/>
      <c r="G43" s="35"/>
      <c r="H43" s="35"/>
      <c r="I43" s="35"/>
    </row>
    <row r="44" spans="1:14">
      <c r="A44" s="19" t="s">
        <v>74</v>
      </c>
      <c r="B44" s="28">
        <v>311.3</v>
      </c>
      <c r="C44" s="28">
        <v>325.8</v>
      </c>
      <c r="D44" s="28">
        <v>258.39999999999998</v>
      </c>
      <c r="E44" s="28">
        <v>257.10000000000002</v>
      </c>
      <c r="F44" s="28"/>
      <c r="G44" s="28">
        <v>0</v>
      </c>
      <c r="H44" s="28"/>
      <c r="I44" s="28"/>
      <c r="J44" s="28"/>
      <c r="K44" s="28"/>
      <c r="L44" s="28"/>
      <c r="M44" s="28"/>
      <c r="N44" s="28"/>
    </row>
    <row r="46" spans="1:14">
      <c r="A46" s="14" t="s">
        <v>75</v>
      </c>
      <c r="B46" s="58">
        <f>B12+C12+D12+E12</f>
        <v>1137.5999999999999</v>
      </c>
      <c r="C46" s="58">
        <f>C12+D12+E12+F12</f>
        <v>1111.3</v>
      </c>
      <c r="D46" s="51"/>
      <c r="E46" s="51"/>
      <c r="F46" s="51"/>
      <c r="G46" s="51">
        <v>1113</v>
      </c>
      <c r="H46" s="33"/>
      <c r="I46" s="33"/>
      <c r="J46" s="33"/>
      <c r="K46" s="33"/>
    </row>
    <row r="47" spans="1:14">
      <c r="A47" s="14" t="s">
        <v>76</v>
      </c>
      <c r="B47" s="58">
        <f>B27</f>
        <v>380.6</v>
      </c>
      <c r="C47" s="58">
        <f>C27</f>
        <v>354.1</v>
      </c>
      <c r="D47" s="51"/>
      <c r="E47" s="51"/>
      <c r="F47" s="51"/>
      <c r="G47" s="51">
        <v>309</v>
      </c>
      <c r="H47" s="33"/>
      <c r="I47" s="33"/>
      <c r="J47" s="33"/>
      <c r="K47" s="33"/>
    </row>
    <row r="48" spans="1:14">
      <c r="A48" s="14" t="s">
        <v>77</v>
      </c>
      <c r="B48" s="33">
        <f>SUM(B37:E37)</f>
        <v>73.099999999999994</v>
      </c>
      <c r="C48" s="33">
        <f>SUM(C37:F37)</f>
        <v>59.400000000000006</v>
      </c>
      <c r="D48" s="33"/>
      <c r="E48" s="33"/>
      <c r="F48" s="33"/>
      <c r="G48" s="33">
        <v>131.55000000000001</v>
      </c>
      <c r="H48" s="33"/>
      <c r="I48" s="33"/>
      <c r="J48" s="33"/>
      <c r="K48" s="33"/>
    </row>
    <row r="50" spans="1:14" s="37" customFormat="1">
      <c r="A50" s="37" t="s">
        <v>78</v>
      </c>
      <c r="B50" s="37">
        <f>+SUM(B39:B40)/B47</f>
        <v>3.7653704676826059</v>
      </c>
      <c r="C50" s="37">
        <f>+SUM(C39:C40)/C47</f>
        <v>4.0056481219994353</v>
      </c>
      <c r="G50" s="37">
        <f>+SUM(G39:G40)/G47</f>
        <v>4.5307443365695796</v>
      </c>
    </row>
    <row r="51" spans="1:14" s="37" customFormat="1">
      <c r="A51" s="37" t="s">
        <v>79</v>
      </c>
      <c r="B51" s="37">
        <f>+B41/B47</f>
        <v>4.8820283762480292</v>
      </c>
      <c r="C51" s="37">
        <f>+C41/C47</f>
        <v>5.2058740468794129</v>
      </c>
      <c r="G51" s="37">
        <f>+G41/G47</f>
        <v>6.2427184466019421</v>
      </c>
    </row>
    <row r="52" spans="1:14" s="37" customFormat="1">
      <c r="A52" s="37" t="s">
        <v>80</v>
      </c>
      <c r="B52" s="37">
        <f>+(B41-B44)/B47</f>
        <v>4.0641093011035201</v>
      </c>
      <c r="C52" s="37">
        <f>+(C41-C44)/C47</f>
        <v>4.2857949731714209</v>
      </c>
      <c r="G52" s="37">
        <f>+(G41-G44)/G47</f>
        <v>6.2427184466019421</v>
      </c>
    </row>
    <row r="53" spans="1:14" s="38" customFormat="1">
      <c r="A53" s="38" t="s">
        <v>81</v>
      </c>
      <c r="B53" s="38">
        <f>+B48/B41</f>
        <v>3.9341262580054895E-2</v>
      </c>
      <c r="C53" s="38">
        <f>+C48/C41</f>
        <v>3.2223066073559729E-2</v>
      </c>
      <c r="G53" s="38">
        <f>+G48/G41</f>
        <v>6.8195956454121312E-2</v>
      </c>
    </row>
    <row r="54" spans="1:14" s="38" customFormat="1">
      <c r="A54" s="39" t="s">
        <v>82</v>
      </c>
      <c r="B54" s="40"/>
      <c r="C54" s="40"/>
      <c r="D54" s="40"/>
      <c r="E54" s="40"/>
      <c r="F54" s="40"/>
      <c r="G54" s="40"/>
      <c r="H54" s="40"/>
      <c r="I54" s="40"/>
      <c r="J54" s="40"/>
      <c r="K54" s="40"/>
      <c r="L54" s="39"/>
      <c r="M54" s="39"/>
      <c r="N54" s="39"/>
    </row>
    <row r="55" spans="1:14" s="38" customFormat="1">
      <c r="A55" s="38" t="s">
        <v>83</v>
      </c>
      <c r="B55" s="41">
        <f>IF(B42=0,IF(B54="","","*"&amp;TEXT(B54,"0.0x")),(B41+B42-B44)/B47)</f>
        <v>7.2695743562795574</v>
      </c>
      <c r="C55" s="41">
        <f>IF(C42=0,IF(C54="","","*"&amp;TEXT(C54,"0.0x")),(C41+C42-C44)/C47)</f>
        <v>7.7311493928268842</v>
      </c>
      <c r="D55" s="41"/>
      <c r="E55" s="41"/>
      <c r="F55" s="41"/>
      <c r="G55" s="41">
        <f>IF(G42=0,IF(G54="","","*"&amp;TEXT(G54,"0.0x")),(G41+G42-G44)/G47)</f>
        <v>10.190938511326861</v>
      </c>
      <c r="H55" s="41" t="str">
        <f>IF(H42=0,IF(H54="","","*"&amp;TEXT(H54,"0.0x")),(H41+H42-H44)/H47)</f>
        <v/>
      </c>
      <c r="I55" s="41" t="str">
        <f>IF(I42=0,IF(I54="","","*"&amp;TEXT(I54,"0.0x")),(I41+I42-I44)/I47)</f>
        <v/>
      </c>
      <c r="J55" s="41" t="str">
        <f>IF(J42=0,IF(J54="","","*"&amp;TEXT(J54,"0.0x")),(J41+J42-J44)/J47)</f>
        <v/>
      </c>
      <c r="K55" s="41" t="str">
        <f>IF(K42=0,IF(K54="","","*"&amp;TEXT(K54,"0.0x")),(K41+K42-K44)/K47)</f>
        <v/>
      </c>
      <c r="L55" s="41" t="str">
        <f>IF(L42=0,IF(L54="","",CONCATENATE("* ",L54,"x")),(L41+L42-L44)/L47)</f>
        <v/>
      </c>
      <c r="M55" s="41" t="str">
        <f>IF(M42=0,IF(M54="","",CONCATENATE("* ",M54,"x")),(M41+M42-M44)/M47)</f>
        <v/>
      </c>
      <c r="N55" s="41" t="str">
        <f>IF(N42=0,IF(N54="","",CONCATENATE("* ",N54,"x")),(N41+N42-N44)/N47)</f>
        <v/>
      </c>
    </row>
    <row r="56" spans="1:14">
      <c r="K56" s="42"/>
    </row>
    <row r="57" spans="1:14" ht="80.25" customHeight="1">
      <c r="A57" s="43" t="s">
        <v>84</v>
      </c>
      <c r="B57" s="44"/>
      <c r="C57" s="44"/>
      <c r="D57" s="44"/>
      <c r="E57" s="44"/>
      <c r="F57" s="44" t="s">
        <v>247</v>
      </c>
      <c r="G57" s="44" t="s">
        <v>149</v>
      </c>
      <c r="H57" s="44"/>
      <c r="I57" s="44"/>
      <c r="J57" s="44"/>
      <c r="K57" s="44"/>
      <c r="L57" s="44"/>
      <c r="M57" s="44"/>
      <c r="N57" s="44"/>
    </row>
    <row r="58" spans="1:14">
      <c r="A58" s="45"/>
      <c r="B58" s="42"/>
      <c r="C58" s="42"/>
      <c r="D58" s="42"/>
      <c r="E58" s="42"/>
      <c r="F58" s="42"/>
      <c r="G58" s="42"/>
    </row>
    <row r="59" spans="1:14">
      <c r="A59" s="45"/>
    </row>
  </sheetData>
  <pageMargins left="0.7" right="0.7" top="0.75" bottom="0.75" header="0.3" footer="0.3"/>
  <pageSetup orientation="portrait"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FF0000"/>
  </sheetPr>
  <dimension ref="A2:M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ColWidth="9.109375" defaultRowHeight="13.8"/>
  <cols>
    <col min="1" max="1" width="22.6640625" style="14" customWidth="1"/>
    <col min="2" max="13" width="10.6640625" style="14" customWidth="1"/>
    <col min="14" max="16384" width="9.109375" style="14"/>
  </cols>
  <sheetData>
    <row r="2" spans="1:13">
      <c r="A2" s="13" t="s">
        <v>44</v>
      </c>
      <c r="B2" s="14" t="s">
        <v>151</v>
      </c>
    </row>
    <row r="3" spans="1:13" s="16" customFormat="1">
      <c r="A3" s="15" t="s">
        <v>45</v>
      </c>
      <c r="B3" s="16" t="s">
        <v>146</v>
      </c>
    </row>
    <row r="4" spans="1:13">
      <c r="A4" s="13" t="s">
        <v>2</v>
      </c>
      <c r="B4" s="14" t="s">
        <v>4</v>
      </c>
    </row>
    <row r="5" spans="1:13">
      <c r="A5" s="13" t="s">
        <v>46</v>
      </c>
    </row>
    <row r="6" spans="1:13">
      <c r="A6" s="13" t="s">
        <v>47</v>
      </c>
      <c r="B6" s="14">
        <v>3</v>
      </c>
    </row>
    <row r="7" spans="1:13">
      <c r="A7" s="13" t="s">
        <v>48</v>
      </c>
      <c r="B7" s="14" t="e">
        <v>#N/A</v>
      </c>
    </row>
    <row r="8" spans="1:13">
      <c r="A8" s="13" t="s">
        <v>347</v>
      </c>
      <c r="B8" s="14" t="e">
        <v>#N/A</v>
      </c>
    </row>
    <row r="9" spans="1:13">
      <c r="A9" s="17"/>
    </row>
    <row r="10" spans="1:13">
      <c r="A10" s="17" t="s">
        <v>49</v>
      </c>
      <c r="B10" s="18">
        <v>43190</v>
      </c>
      <c r="C10" s="18">
        <v>43100</v>
      </c>
      <c r="D10" s="18">
        <v>43008</v>
      </c>
      <c r="E10" s="18">
        <v>42916</v>
      </c>
      <c r="F10" s="18">
        <v>42825</v>
      </c>
      <c r="G10" s="18">
        <f>EOMONTH(F10,-3)</f>
        <v>42735</v>
      </c>
      <c r="H10" s="18">
        <f t="shared" ref="H10:M10" si="0">EOMONTH(G10,-3)</f>
        <v>42643</v>
      </c>
      <c r="I10" s="18">
        <f t="shared" si="0"/>
        <v>42551</v>
      </c>
      <c r="J10" s="18">
        <f t="shared" si="0"/>
        <v>42460</v>
      </c>
      <c r="K10" s="18">
        <f t="shared" si="0"/>
        <v>42369</v>
      </c>
      <c r="L10" s="18">
        <f t="shared" si="0"/>
        <v>42277</v>
      </c>
      <c r="M10" s="18">
        <f t="shared" si="0"/>
        <v>42185</v>
      </c>
    </row>
    <row r="12" spans="1:13">
      <c r="A12" s="19" t="s">
        <v>50</v>
      </c>
      <c r="B12" s="20">
        <v>154.245</v>
      </c>
      <c r="C12" s="20">
        <v>169.4</v>
      </c>
      <c r="D12" s="20">
        <v>150.965</v>
      </c>
      <c r="E12" s="20">
        <v>156.1</v>
      </c>
      <c r="F12" s="20">
        <v>145.624</v>
      </c>
      <c r="G12" s="20">
        <v>160.48600000000005</v>
      </c>
      <c r="H12" s="20">
        <v>166.108</v>
      </c>
      <c r="I12" s="20">
        <v>134.30000000000001</v>
      </c>
      <c r="J12" s="20">
        <v>134.69999999999999</v>
      </c>
      <c r="K12" s="20"/>
      <c r="L12" s="20"/>
      <c r="M12" s="20"/>
    </row>
    <row r="13" spans="1:13" s="21" customFormat="1">
      <c r="A13" s="21" t="s">
        <v>51</v>
      </c>
      <c r="B13" s="21">
        <f>+B12/F12-1</f>
        <v>5.9200406526396909E-2</v>
      </c>
      <c r="C13" s="21">
        <f>+C12/G12-1</f>
        <v>5.5543785750781671E-2</v>
      </c>
      <c r="D13" s="21">
        <f>+D12/H12-1</f>
        <v>-9.1163580321236837E-2</v>
      </c>
      <c r="E13" s="21">
        <f>+E12/I12-1</f>
        <v>0.16232315711094558</v>
      </c>
      <c r="F13" s="21">
        <f>+F12/J12-1</f>
        <v>8.1098737936154519E-2</v>
      </c>
    </row>
    <row r="14" spans="1:13" s="24" customFormat="1">
      <c r="A14" s="22" t="s">
        <v>52</v>
      </c>
      <c r="B14" s="23" t="s">
        <v>3</v>
      </c>
      <c r="C14" s="23" t="s">
        <v>3</v>
      </c>
      <c r="D14" s="23" t="s">
        <v>3</v>
      </c>
      <c r="E14" s="23" t="s">
        <v>3</v>
      </c>
      <c r="F14" s="23" t="s">
        <v>3</v>
      </c>
      <c r="G14" s="23" t="s">
        <v>3</v>
      </c>
      <c r="H14" s="23" t="s">
        <v>3</v>
      </c>
      <c r="I14" s="23" t="s">
        <v>3</v>
      </c>
      <c r="J14" s="22"/>
      <c r="K14" s="22"/>
      <c r="L14" s="22"/>
      <c r="M14" s="22"/>
    </row>
    <row r="16" spans="1:13" s="17" customFormat="1">
      <c r="A16" s="25" t="s">
        <v>53</v>
      </c>
      <c r="B16" s="26">
        <v>38.9</v>
      </c>
      <c r="C16" s="26">
        <v>40.4</v>
      </c>
      <c r="D16" s="26">
        <v>35.299999999999997</v>
      </c>
      <c r="E16" s="26">
        <v>35.1</v>
      </c>
      <c r="F16" s="26">
        <v>24</v>
      </c>
      <c r="G16" s="26">
        <v>32.899999999999977</v>
      </c>
      <c r="H16" s="26">
        <v>43.6</v>
      </c>
      <c r="I16" s="26">
        <v>31.5</v>
      </c>
      <c r="J16" s="26">
        <v>25.2</v>
      </c>
      <c r="K16" s="26"/>
      <c r="L16" s="26"/>
      <c r="M16" s="26"/>
    </row>
    <row r="17" spans="1:13" s="21" customFormat="1">
      <c r="A17" s="21" t="s">
        <v>54</v>
      </c>
      <c r="B17" s="21">
        <f t="shared" ref="B17:J17" si="1">+B16/B12</f>
        <v>0.25219618139972122</v>
      </c>
      <c r="C17" s="21">
        <f t="shared" si="1"/>
        <v>0.23848878394332937</v>
      </c>
      <c r="D17" s="21">
        <f t="shared" si="1"/>
        <v>0.23382903321962042</v>
      </c>
      <c r="E17" s="21">
        <f t="shared" si="1"/>
        <v>0.22485586162716209</v>
      </c>
      <c r="F17" s="21">
        <f t="shared" si="1"/>
        <v>0.16480799868153601</v>
      </c>
      <c r="G17" s="21">
        <f t="shared" si="1"/>
        <v>0.20500230549705251</v>
      </c>
      <c r="H17" s="21">
        <f t="shared" si="1"/>
        <v>0.26247983239819878</v>
      </c>
      <c r="I17" s="21">
        <f t="shared" si="1"/>
        <v>0.2345495160089352</v>
      </c>
      <c r="J17" s="21">
        <f t="shared" si="1"/>
        <v>0.18708240534521159</v>
      </c>
    </row>
    <row r="18" spans="1:13" s="24" customFormat="1"/>
    <row r="19" spans="1:13" s="24" customFormat="1">
      <c r="A19" s="19" t="s">
        <v>55</v>
      </c>
      <c r="B19" s="20">
        <v>0</v>
      </c>
      <c r="C19" s="20">
        <v>0</v>
      </c>
      <c r="D19" s="20">
        <v>0</v>
      </c>
      <c r="E19" s="20">
        <v>0</v>
      </c>
      <c r="F19" s="20">
        <v>0</v>
      </c>
      <c r="G19" s="20">
        <v>0</v>
      </c>
      <c r="H19" s="20">
        <v>0</v>
      </c>
      <c r="I19" s="20">
        <v>0</v>
      </c>
      <c r="J19" s="20">
        <v>0</v>
      </c>
      <c r="K19" s="20"/>
      <c r="L19" s="20"/>
      <c r="M19" s="20"/>
    </row>
    <row r="20" spans="1:13" s="24" customFormat="1">
      <c r="A20" s="19" t="s">
        <v>56</v>
      </c>
      <c r="B20" s="20">
        <v>0</v>
      </c>
      <c r="C20" s="20">
        <v>0</v>
      </c>
      <c r="D20" s="20">
        <v>0</v>
      </c>
      <c r="E20" s="20">
        <v>0</v>
      </c>
      <c r="F20" s="20">
        <v>0</v>
      </c>
      <c r="G20" s="20">
        <v>0</v>
      </c>
      <c r="H20" s="20">
        <v>0</v>
      </c>
      <c r="I20" s="20">
        <v>0</v>
      </c>
      <c r="J20" s="20">
        <v>0</v>
      </c>
      <c r="K20" s="20"/>
      <c r="L20" s="20"/>
      <c r="M20" s="20"/>
    </row>
    <row r="21" spans="1:13" s="24" customFormat="1">
      <c r="A21" s="19" t="s">
        <v>57</v>
      </c>
      <c r="B21" s="20">
        <v>3.2</v>
      </c>
      <c r="C21" s="20">
        <v>3.6</v>
      </c>
      <c r="D21" s="20">
        <v>5.6</v>
      </c>
      <c r="E21" s="20">
        <v>6.5</v>
      </c>
      <c r="F21" s="20">
        <f>F22-F16-F19-F20</f>
        <v>13.600000000000001</v>
      </c>
      <c r="G21" s="20">
        <v>5.7000000000000242</v>
      </c>
      <c r="H21" s="20">
        <v>9.1000000000000156</v>
      </c>
      <c r="I21" s="20">
        <f>162-F22-G22-H22-I16</f>
        <v>1.5999999999999943</v>
      </c>
      <c r="J21" s="20">
        <v>0</v>
      </c>
      <c r="K21" s="20"/>
      <c r="L21" s="20"/>
      <c r="M21" s="20"/>
    </row>
    <row r="22" spans="1:13" s="17" customFormat="1">
      <c r="A22" s="17" t="s">
        <v>58</v>
      </c>
      <c r="B22" s="27">
        <f>SUM(B16,B19:B21)</f>
        <v>42.1</v>
      </c>
      <c r="C22" s="27">
        <f>SUM(C16,C19:C21)</f>
        <v>44</v>
      </c>
      <c r="D22" s="27">
        <f>SUM(D16,D19:D21)</f>
        <v>40.9</v>
      </c>
      <c r="E22" s="27">
        <f>SUM(E16,E19:E21)</f>
        <v>41.6</v>
      </c>
      <c r="F22" s="27">
        <v>37.6</v>
      </c>
      <c r="G22" s="27">
        <f>SUM(G16,G19:G21)</f>
        <v>38.6</v>
      </c>
      <c r="H22" s="27">
        <f>SUM(H16,H19:H21)</f>
        <v>52.700000000000017</v>
      </c>
      <c r="I22" s="27">
        <f>SUM(I16,I19:I21)</f>
        <v>33.099999999999994</v>
      </c>
      <c r="J22" s="27">
        <f>SUM(J16,J19:J21)</f>
        <v>25.2</v>
      </c>
      <c r="K22" s="27"/>
      <c r="L22" s="27"/>
      <c r="M22" s="27"/>
    </row>
    <row r="23" spans="1:13" s="17" customFormat="1">
      <c r="B23" s="27"/>
      <c r="C23" s="27"/>
      <c r="D23" s="27"/>
      <c r="E23" s="27"/>
      <c r="F23" s="27"/>
      <c r="G23" s="27"/>
      <c r="H23" s="27"/>
      <c r="I23" s="27"/>
      <c r="J23" s="27"/>
      <c r="K23" s="27"/>
      <c r="L23" s="27"/>
      <c r="M23" s="27"/>
    </row>
    <row r="24" spans="1:13" s="17" customFormat="1">
      <c r="A24" s="17" t="s">
        <v>59</v>
      </c>
      <c r="B24" s="27">
        <f t="shared" ref="B24:G24" si="2">SUM(B22:E22)</f>
        <v>168.6</v>
      </c>
      <c r="C24" s="27">
        <f t="shared" si="2"/>
        <v>164.1</v>
      </c>
      <c r="D24" s="27">
        <f t="shared" si="2"/>
        <v>158.69999999999999</v>
      </c>
      <c r="E24" s="27">
        <f t="shared" si="2"/>
        <v>170.50000000000003</v>
      </c>
      <c r="F24" s="27">
        <f t="shared" si="2"/>
        <v>162.00000000000003</v>
      </c>
      <c r="G24" s="27">
        <f t="shared" si="2"/>
        <v>149.6</v>
      </c>
      <c r="H24" s="27"/>
      <c r="I24" s="27"/>
      <c r="J24" s="27"/>
      <c r="K24" s="27"/>
      <c r="L24" s="27"/>
      <c r="M24" s="27"/>
    </row>
    <row r="25" spans="1:13" s="24" customFormat="1">
      <c r="A25" s="19" t="s">
        <v>60</v>
      </c>
      <c r="B25" s="28">
        <v>0</v>
      </c>
      <c r="C25" s="28">
        <f>158.2-C24</f>
        <v>-5.9000000000000057</v>
      </c>
      <c r="D25" s="28">
        <v>0</v>
      </c>
      <c r="E25" s="28">
        <v>0</v>
      </c>
      <c r="F25" s="28">
        <v>0</v>
      </c>
      <c r="G25" s="28">
        <v>0</v>
      </c>
      <c r="H25" s="28"/>
      <c r="I25" s="28"/>
      <c r="J25" s="28"/>
      <c r="K25" s="28"/>
      <c r="L25" s="28"/>
      <c r="M25" s="28"/>
    </row>
    <row r="26" spans="1:13" s="24" customFormat="1">
      <c r="A26" s="19" t="s">
        <v>61</v>
      </c>
      <c r="B26" s="29">
        <v>0</v>
      </c>
      <c r="C26" s="29">
        <v>0</v>
      </c>
      <c r="D26" s="29">
        <v>0</v>
      </c>
      <c r="E26" s="29">
        <v>0</v>
      </c>
      <c r="F26" s="29">
        <v>0</v>
      </c>
      <c r="G26" s="29">
        <v>0</v>
      </c>
      <c r="H26" s="29"/>
      <c r="I26" s="29"/>
      <c r="J26" s="29"/>
      <c r="K26" s="30"/>
      <c r="L26" s="30"/>
      <c r="M26" s="30"/>
    </row>
    <row r="27" spans="1:13" s="32" customFormat="1">
      <c r="A27" s="17" t="s">
        <v>62</v>
      </c>
      <c r="B27" s="27">
        <f t="shared" ref="B27:G27" si="3">SUM(B24:B26)</f>
        <v>168.6</v>
      </c>
      <c r="C27" s="27">
        <f t="shared" si="3"/>
        <v>158.19999999999999</v>
      </c>
      <c r="D27" s="27">
        <f t="shared" si="3"/>
        <v>158.69999999999999</v>
      </c>
      <c r="E27" s="27">
        <f t="shared" si="3"/>
        <v>170.50000000000003</v>
      </c>
      <c r="F27" s="27">
        <f t="shared" si="3"/>
        <v>162.00000000000003</v>
      </c>
      <c r="G27" s="27">
        <f t="shared" si="3"/>
        <v>149.6</v>
      </c>
      <c r="H27" s="27"/>
      <c r="I27" s="27"/>
      <c r="J27" s="27"/>
      <c r="K27" s="31"/>
      <c r="L27" s="31"/>
      <c r="M27" s="31"/>
    </row>
    <row r="28" spans="1:13" s="24" customFormat="1"/>
    <row r="29" spans="1:13" s="17" customFormat="1">
      <c r="A29" s="17" t="s">
        <v>58</v>
      </c>
      <c r="B29" s="27">
        <f>B22</f>
        <v>42.1</v>
      </c>
      <c r="C29" s="27">
        <f>C22</f>
        <v>44</v>
      </c>
      <c r="D29" s="27">
        <f t="shared" ref="D29:J29" si="4">D22</f>
        <v>40.9</v>
      </c>
      <c r="E29" s="27">
        <f t="shared" si="4"/>
        <v>41.6</v>
      </c>
      <c r="F29" s="27">
        <f t="shared" si="4"/>
        <v>37.6</v>
      </c>
      <c r="G29" s="27">
        <f t="shared" si="4"/>
        <v>38.6</v>
      </c>
      <c r="H29" s="27">
        <f t="shared" si="4"/>
        <v>52.700000000000017</v>
      </c>
      <c r="I29" s="27">
        <f t="shared" si="4"/>
        <v>33.099999999999994</v>
      </c>
      <c r="J29" s="27">
        <f t="shared" si="4"/>
        <v>25.2</v>
      </c>
      <c r="K29" s="27"/>
      <c r="L29" s="27"/>
      <c r="M29" s="27"/>
    </row>
    <row r="30" spans="1:13" s="33" customFormat="1">
      <c r="A30" s="20" t="s">
        <v>63</v>
      </c>
      <c r="B30" s="20">
        <v>-12.148</v>
      </c>
      <c r="C30" s="20">
        <v>-11</v>
      </c>
      <c r="D30" s="20">
        <v>-17.899999999999999</v>
      </c>
      <c r="E30" s="20">
        <v>-42.3</v>
      </c>
      <c r="F30" s="20">
        <v>-16.588000000000001</v>
      </c>
      <c r="G30" s="20">
        <v>-41.2</v>
      </c>
      <c r="H30" s="20">
        <v>-17.3</v>
      </c>
      <c r="I30" s="20">
        <v>-41.8</v>
      </c>
      <c r="J30" s="20">
        <v>-17.100000000000001</v>
      </c>
      <c r="K30" s="20"/>
      <c r="L30" s="20"/>
      <c r="M30" s="20"/>
    </row>
    <row r="31" spans="1:13" s="33" customFormat="1">
      <c r="A31" s="20" t="s">
        <v>64</v>
      </c>
      <c r="B31" s="20">
        <v>-2.3959999999999999</v>
      </c>
      <c r="C31" s="20">
        <v>-2.5</v>
      </c>
      <c r="D31" s="20">
        <v>-5.5</v>
      </c>
      <c r="E31" s="20">
        <v>-2.2000000000000002</v>
      </c>
      <c r="F31" s="20">
        <v>-2.1179999999999994</v>
      </c>
      <c r="G31" s="20">
        <v>-3.2</v>
      </c>
      <c r="H31" s="20">
        <v>-4.9000000000000004</v>
      </c>
      <c r="I31" s="20">
        <v>-5.9</v>
      </c>
      <c r="J31" s="20">
        <v>-5.3769999999999989</v>
      </c>
      <c r="K31" s="20"/>
      <c r="L31" s="20"/>
      <c r="M31" s="20"/>
    </row>
    <row r="32" spans="1:13" s="33" customFormat="1">
      <c r="A32" s="20" t="s">
        <v>65</v>
      </c>
      <c r="B32" s="20">
        <f>4.946+-3.002+0.404+0.283-0.331-16.193-1.069-2.736+0.53</f>
        <v>-17.167999999999999</v>
      </c>
      <c r="C32" s="20">
        <f>-11.618+13.487-0.269-2.364+2.792-19.122-1.775-2.077-F32-E32-D32</f>
        <v>15.834000000000003</v>
      </c>
      <c r="D32" s="20">
        <v>-5.68</v>
      </c>
      <c r="E32" s="20">
        <v>-11.437999999999999</v>
      </c>
      <c r="F32" s="20">
        <v>-19.662000000000003</v>
      </c>
      <c r="G32" s="20">
        <f>21.202-21.927-3.404-4.738+14.107+14.263+0.005+2.407-J32-I32-H32</f>
        <v>24.015999999999995</v>
      </c>
      <c r="H32" s="20">
        <v>-0.3639999999999986</v>
      </c>
      <c r="I32" s="20">
        <v>-9.8039999999999985</v>
      </c>
      <c r="J32" s="20">
        <v>8.0670000000000002</v>
      </c>
      <c r="K32" s="20"/>
      <c r="L32" s="20"/>
      <c r="M32" s="20"/>
    </row>
    <row r="33" spans="1:13" s="33" customFormat="1">
      <c r="A33" s="20" t="s">
        <v>66</v>
      </c>
      <c r="B33" s="20">
        <v>0</v>
      </c>
      <c r="C33" s="20">
        <v>0</v>
      </c>
      <c r="D33" s="20">
        <v>0</v>
      </c>
      <c r="E33" s="20">
        <v>0</v>
      </c>
      <c r="F33" s="20">
        <v>0</v>
      </c>
      <c r="G33" s="20">
        <v>0</v>
      </c>
      <c r="H33" s="20">
        <v>0</v>
      </c>
      <c r="I33" s="20">
        <v>0</v>
      </c>
      <c r="J33" s="20">
        <v>0</v>
      </c>
      <c r="K33" s="20"/>
      <c r="L33" s="20"/>
      <c r="M33" s="20"/>
    </row>
    <row r="34" spans="1:13" s="33" customFormat="1">
      <c r="A34" s="20" t="s">
        <v>57</v>
      </c>
      <c r="B34" s="29">
        <f>B35-B29-B30-B31-B32-B33</f>
        <v>-10.986000000000001</v>
      </c>
      <c r="C34" s="29">
        <f>C35-C29-C30-C31-C32-C33</f>
        <v>-12.334000000000003</v>
      </c>
      <c r="D34" s="29">
        <f t="shared" ref="D34:J34" si="5">D35-D29-D30-D31-D32-D33</f>
        <v>3.0309999999999988</v>
      </c>
      <c r="E34" s="29">
        <f t="shared" si="5"/>
        <v>1.5379999999999896</v>
      </c>
      <c r="F34" s="29">
        <f t="shared" si="5"/>
        <v>-5.0320000000000036</v>
      </c>
      <c r="G34" s="29">
        <f t="shared" si="5"/>
        <v>-9.0159999999999947</v>
      </c>
      <c r="H34" s="29">
        <f t="shared" si="5"/>
        <v>-4.7920000000000158</v>
      </c>
      <c r="I34" s="29">
        <f t="shared" si="5"/>
        <v>6.5040000000000031</v>
      </c>
      <c r="J34" s="29">
        <f t="shared" si="5"/>
        <v>7.0109999999999992</v>
      </c>
      <c r="K34" s="29"/>
      <c r="L34" s="29"/>
      <c r="M34" s="29"/>
    </row>
    <row r="35" spans="1:13" s="27" customFormat="1">
      <c r="A35" s="27" t="s">
        <v>67</v>
      </c>
      <c r="B35" s="27">
        <v>-0.59799999999999998</v>
      </c>
      <c r="C35" s="27">
        <v>34</v>
      </c>
      <c r="D35" s="27">
        <v>14.851000000000001</v>
      </c>
      <c r="E35" s="27">
        <v>-12.8</v>
      </c>
      <c r="F35" s="27">
        <v>-5.8000000000000007</v>
      </c>
      <c r="G35" s="27">
        <v>9.1999999999999993</v>
      </c>
      <c r="H35" s="27">
        <v>25.344000000000001</v>
      </c>
      <c r="I35" s="27">
        <v>-17.899999999999999</v>
      </c>
      <c r="J35" s="27">
        <v>17.800999999999998</v>
      </c>
    </row>
    <row r="36" spans="1:13" s="33" customFormat="1">
      <c r="A36" s="20" t="s">
        <v>68</v>
      </c>
      <c r="B36" s="29">
        <v>-1.796</v>
      </c>
      <c r="C36" s="29">
        <v>-1.2</v>
      </c>
      <c r="D36" s="29">
        <v>-0.74299999999999999</v>
      </c>
      <c r="E36" s="29">
        <v>-6.8</v>
      </c>
      <c r="F36" s="29">
        <v>-1.8880000000000008</v>
      </c>
      <c r="G36" s="29">
        <v>-6</v>
      </c>
      <c r="H36" s="29">
        <v>-5.3380000000000001</v>
      </c>
      <c r="I36" s="29">
        <v>-3</v>
      </c>
      <c r="J36" s="29">
        <v>-2.7</v>
      </c>
      <c r="K36" s="29"/>
      <c r="L36" s="29"/>
      <c r="M36" s="29"/>
    </row>
    <row r="37" spans="1:13" s="27" customFormat="1">
      <c r="A37" s="27" t="s">
        <v>69</v>
      </c>
      <c r="B37" s="27">
        <f t="shared" ref="B37:J37" si="6">+B35+B36</f>
        <v>-2.3940000000000001</v>
      </c>
      <c r="C37" s="27">
        <f t="shared" si="6"/>
        <v>32.799999999999997</v>
      </c>
      <c r="D37" s="27">
        <f t="shared" si="6"/>
        <v>14.108000000000001</v>
      </c>
      <c r="E37" s="27">
        <f t="shared" si="6"/>
        <v>-19.600000000000001</v>
      </c>
      <c r="F37" s="27">
        <f t="shared" si="6"/>
        <v>-7.6880000000000015</v>
      </c>
      <c r="G37" s="27">
        <f t="shared" si="6"/>
        <v>3.1999999999999993</v>
      </c>
      <c r="H37" s="27">
        <f t="shared" si="6"/>
        <v>20.006</v>
      </c>
      <c r="I37" s="27">
        <f t="shared" si="6"/>
        <v>-20.9</v>
      </c>
      <c r="J37" s="27">
        <f t="shared" si="6"/>
        <v>15.100999999999999</v>
      </c>
    </row>
    <row r="39" spans="1:13" s="35" customFormat="1">
      <c r="A39" s="34" t="s">
        <v>70</v>
      </c>
      <c r="B39" s="20">
        <v>0</v>
      </c>
      <c r="C39" s="20">
        <v>0</v>
      </c>
      <c r="D39" s="20">
        <v>0</v>
      </c>
      <c r="E39" s="20">
        <v>0</v>
      </c>
      <c r="F39" s="20">
        <v>0</v>
      </c>
      <c r="G39" s="20"/>
      <c r="H39" s="20"/>
      <c r="I39" s="20"/>
      <c r="J39" s="20"/>
      <c r="K39" s="20"/>
      <c r="L39" s="20"/>
      <c r="M39" s="20"/>
    </row>
    <row r="40" spans="1:13" s="35" customFormat="1">
      <c r="A40" s="34" t="s">
        <v>71</v>
      </c>
      <c r="B40" s="20">
        <v>820.9</v>
      </c>
      <c r="C40" s="20">
        <v>823</v>
      </c>
      <c r="D40" s="20">
        <v>825</v>
      </c>
      <c r="E40" s="20">
        <v>825</v>
      </c>
      <c r="F40" s="20">
        <v>705</v>
      </c>
      <c r="G40" s="20"/>
      <c r="H40" s="20"/>
      <c r="I40" s="20"/>
      <c r="J40" s="20"/>
      <c r="K40" s="20"/>
      <c r="L40" s="20"/>
      <c r="M40" s="20"/>
    </row>
    <row r="41" spans="1:13" s="35" customFormat="1">
      <c r="A41" s="34" t="s">
        <v>72</v>
      </c>
      <c r="B41" s="20">
        <f>B39+B40</f>
        <v>820.9</v>
      </c>
      <c r="C41" s="20">
        <f>C39+C40</f>
        <v>823</v>
      </c>
      <c r="D41" s="20">
        <f>D39+D40</f>
        <v>825</v>
      </c>
      <c r="E41" s="20">
        <f>E39+E40</f>
        <v>825</v>
      </c>
      <c r="F41" s="20">
        <f>F39+F40+120</f>
        <v>825</v>
      </c>
      <c r="G41" s="20"/>
      <c r="H41" s="20"/>
      <c r="I41" s="20"/>
      <c r="J41" s="20"/>
      <c r="K41" s="20"/>
      <c r="L41" s="20"/>
      <c r="M41" s="20"/>
    </row>
    <row r="42" spans="1:13" s="35" customFormat="1">
      <c r="A42" s="34" t="s">
        <v>73</v>
      </c>
      <c r="B42" s="36">
        <v>567.9</v>
      </c>
      <c r="C42" s="36">
        <v>551.70000000000005</v>
      </c>
      <c r="D42" s="36">
        <v>0</v>
      </c>
      <c r="E42" s="36">
        <v>0</v>
      </c>
      <c r="F42" s="36">
        <v>0</v>
      </c>
      <c r="G42" s="36"/>
      <c r="H42" s="36"/>
      <c r="I42" s="36"/>
      <c r="J42" s="36"/>
      <c r="K42" s="36"/>
      <c r="L42" s="36"/>
      <c r="M42" s="36"/>
    </row>
    <row r="43" spans="1:13">
      <c r="B43" s="35"/>
      <c r="C43" s="35"/>
      <c r="D43" s="35"/>
      <c r="E43" s="35"/>
      <c r="F43" s="35"/>
      <c r="G43" s="35"/>
      <c r="H43" s="35"/>
    </row>
    <row r="44" spans="1:13">
      <c r="A44" s="19" t="s">
        <v>74</v>
      </c>
      <c r="B44" s="28">
        <v>65.284999999999997</v>
      </c>
      <c r="C44" s="28">
        <v>70.046000000000006</v>
      </c>
      <c r="D44" s="28">
        <v>39.978000000000002</v>
      </c>
      <c r="E44" s="28">
        <v>87.335999999999999</v>
      </c>
      <c r="F44" s="28">
        <v>19</v>
      </c>
      <c r="G44" s="28"/>
      <c r="H44" s="28"/>
      <c r="I44" s="28"/>
      <c r="J44" s="28"/>
      <c r="K44" s="28"/>
      <c r="L44" s="28"/>
      <c r="M44" s="28"/>
    </row>
    <row r="46" spans="1:13">
      <c r="A46" s="14" t="s">
        <v>75</v>
      </c>
      <c r="B46" s="33">
        <f t="shared" ref="B46:G46" si="7">SUM(B12:E12)</f>
        <v>630.71</v>
      </c>
      <c r="C46" s="33">
        <f t="shared" si="7"/>
        <v>622.08900000000006</v>
      </c>
      <c r="D46" s="33">
        <f t="shared" si="7"/>
        <v>613.17499999999995</v>
      </c>
      <c r="E46" s="33">
        <f t="shared" si="7"/>
        <v>628.31799999999998</v>
      </c>
      <c r="F46" s="33">
        <f t="shared" si="7"/>
        <v>606.51800000000003</v>
      </c>
      <c r="G46" s="33">
        <f t="shared" si="7"/>
        <v>595.59400000000005</v>
      </c>
      <c r="H46" s="33"/>
      <c r="I46" s="33"/>
      <c r="J46" s="33"/>
    </row>
    <row r="47" spans="1:13">
      <c r="A47" s="14" t="s">
        <v>76</v>
      </c>
      <c r="B47" s="33">
        <f t="shared" ref="B47:G47" si="8">+B27</f>
        <v>168.6</v>
      </c>
      <c r="C47" s="33">
        <f t="shared" si="8"/>
        <v>158.19999999999999</v>
      </c>
      <c r="D47" s="33">
        <f t="shared" si="8"/>
        <v>158.69999999999999</v>
      </c>
      <c r="E47" s="33">
        <f t="shared" si="8"/>
        <v>170.50000000000003</v>
      </c>
      <c r="F47" s="33">
        <f t="shared" si="8"/>
        <v>162.00000000000003</v>
      </c>
      <c r="G47" s="33">
        <f t="shared" si="8"/>
        <v>149.6</v>
      </c>
      <c r="H47" s="33"/>
      <c r="I47" s="33"/>
      <c r="J47" s="33"/>
    </row>
    <row r="48" spans="1:13">
      <c r="A48" s="14" t="s">
        <v>77</v>
      </c>
      <c r="B48" s="58">
        <f>SUM(B37:E37)</f>
        <v>24.913999999999994</v>
      </c>
      <c r="C48" s="58">
        <f>SUM(C37:F37)</f>
        <v>19.619999999999997</v>
      </c>
      <c r="D48" s="58">
        <f>SUM(D37:G37)</f>
        <v>-9.980000000000004</v>
      </c>
      <c r="E48" s="58">
        <f>SUM(E37:H37)</f>
        <v>-4.0820000000000043</v>
      </c>
      <c r="F48" s="58">
        <f>SUM(F37:I37)</f>
        <v>-5.3820000000000014</v>
      </c>
      <c r="G48" s="33"/>
      <c r="H48" s="33"/>
      <c r="I48" s="33"/>
      <c r="J48" s="33"/>
    </row>
    <row r="50" spans="1:13" s="37" customFormat="1">
      <c r="A50" s="37" t="s">
        <v>78</v>
      </c>
      <c r="B50" s="37">
        <f>+SUM(B39:B40)/B47</f>
        <v>4.8689205219454328</v>
      </c>
      <c r="C50" s="37">
        <f>+SUM(C39:C40)/C47</f>
        <v>5.2022756005056889</v>
      </c>
      <c r="D50" s="37">
        <f>+SUM(D39:D40)/D47</f>
        <v>5.1984877126654068</v>
      </c>
      <c r="E50" s="37">
        <f>+SUM(E39:E40)/E47</f>
        <v>4.8387096774193541</v>
      </c>
      <c r="F50" s="37">
        <f>+SUM(F39:F40)/F47</f>
        <v>4.3518518518518512</v>
      </c>
    </row>
    <row r="51" spans="1:13" s="37" customFormat="1">
      <c r="A51" s="37" t="s">
        <v>79</v>
      </c>
      <c r="B51" s="37">
        <f>+B41/B47</f>
        <v>4.8689205219454328</v>
      </c>
      <c r="C51" s="37">
        <f>+C41/C47</f>
        <v>5.2022756005056889</v>
      </c>
      <c r="D51" s="37">
        <f>+D41/D47</f>
        <v>5.1984877126654068</v>
      </c>
      <c r="E51" s="37">
        <f>+E41/E47</f>
        <v>4.8387096774193541</v>
      </c>
      <c r="F51" s="37">
        <f>+F41/F47</f>
        <v>5.0925925925925917</v>
      </c>
    </row>
    <row r="52" spans="1:13" s="37" customFormat="1">
      <c r="A52" s="37" t="s">
        <v>80</v>
      </c>
      <c r="B52" s="37">
        <f>+(B41-B44)/B47</f>
        <v>4.4817022538552793</v>
      </c>
      <c r="C52" s="37">
        <f>+(C41-C44)/C47</f>
        <v>4.7595069532237675</v>
      </c>
      <c r="D52" s="37">
        <f>+(D41-D44)/D47</f>
        <v>4.9465784499054823</v>
      </c>
      <c r="E52" s="37">
        <f>+(E41-E44)/E47</f>
        <v>4.326475073313782</v>
      </c>
      <c r="F52" s="37">
        <f>+(F41-F44)/F47</f>
        <v>4.9753086419753076</v>
      </c>
    </row>
    <row r="53" spans="1:13" s="38" customFormat="1">
      <c r="A53" s="38" t="s">
        <v>81</v>
      </c>
      <c r="B53" s="38">
        <f>+B48/B41</f>
        <v>3.0349616274820312E-2</v>
      </c>
      <c r="C53" s="38">
        <f>+C48/C41</f>
        <v>2.3839611178614821E-2</v>
      </c>
      <c r="D53" s="38">
        <f>+D48/D41</f>
        <v>-1.2096969696969702E-2</v>
      </c>
      <c r="E53" s="38">
        <f>+E48/E41</f>
        <v>-4.9478787878787928E-3</v>
      </c>
      <c r="F53" s="38">
        <f>+F48/F41</f>
        <v>-6.5236363636363651E-3</v>
      </c>
    </row>
    <row r="54" spans="1:13" s="38" customFormat="1">
      <c r="A54" s="39" t="s">
        <v>82</v>
      </c>
      <c r="B54" s="40"/>
      <c r="C54" s="40"/>
      <c r="D54" s="40">
        <v>10.5</v>
      </c>
      <c r="E54" s="40">
        <v>10.5</v>
      </c>
      <c r="F54" s="40">
        <v>10.5</v>
      </c>
      <c r="G54" s="40"/>
      <c r="H54" s="40"/>
      <c r="I54" s="40"/>
      <c r="J54" s="40"/>
      <c r="K54" s="39"/>
      <c r="L54" s="39"/>
      <c r="M54" s="39"/>
    </row>
    <row r="55" spans="1:13" s="38" customFormat="1">
      <c r="A55" s="38" t="s">
        <v>83</v>
      </c>
      <c r="B55" s="41">
        <f t="shared" ref="B55:J55" si="9">IF(B42=0,IF(B54="","","*"&amp;TEXT(B54,"0.0x")),(B41+B42-B44)/B47)</f>
        <v>7.8500296559905092</v>
      </c>
      <c r="C55" s="41">
        <f t="shared" si="9"/>
        <v>8.246864728192163</v>
      </c>
      <c r="D55" s="41" t="str">
        <f t="shared" si="9"/>
        <v>*10.5x</v>
      </c>
      <c r="E55" s="41" t="str">
        <f t="shared" si="9"/>
        <v>*10.5x</v>
      </c>
      <c r="F55" s="41" t="str">
        <f t="shared" si="9"/>
        <v>*10.5x</v>
      </c>
      <c r="G55" s="41" t="str">
        <f t="shared" si="9"/>
        <v/>
      </c>
      <c r="H55" s="41" t="str">
        <f t="shared" si="9"/>
        <v/>
      </c>
      <c r="I55" s="41" t="str">
        <f t="shared" si="9"/>
        <v/>
      </c>
      <c r="J55" s="41" t="str">
        <f t="shared" si="9"/>
        <v/>
      </c>
      <c r="K55" s="41" t="str">
        <f>IF(K42=0,IF(K54="","",CONCATENATE("* ",K54,"x")),(K41+K42-K44)/K47)</f>
        <v/>
      </c>
      <c r="L55" s="41" t="str">
        <f>IF(L42=0,IF(L54="","",CONCATENATE("* ",L54,"x")),(L41+L42-L44)/L47)</f>
        <v/>
      </c>
      <c r="M55" s="41" t="str">
        <f>IF(M42=0,IF(M54="","",CONCATENATE("* ",M54,"x")),(M41+M42-M44)/M47)</f>
        <v/>
      </c>
    </row>
    <row r="56" spans="1:13">
      <c r="J56" s="42"/>
    </row>
    <row r="57" spans="1:13" ht="80.25" customHeight="1">
      <c r="A57" s="43" t="s">
        <v>84</v>
      </c>
      <c r="B57" s="44"/>
      <c r="C57" s="44" t="s">
        <v>236</v>
      </c>
      <c r="D57" s="44"/>
      <c r="E57" s="44"/>
      <c r="F57" s="44" t="s">
        <v>147</v>
      </c>
      <c r="G57" s="44"/>
      <c r="H57" s="44"/>
      <c r="I57" s="44"/>
      <c r="J57" s="44"/>
      <c r="K57" s="44"/>
      <c r="L57" s="44"/>
      <c r="M57" s="44"/>
    </row>
    <row r="58" spans="1:13">
      <c r="A58" s="45"/>
      <c r="B58" s="42"/>
      <c r="C58" s="42"/>
      <c r="D58" s="42"/>
      <c r="E58" s="42"/>
      <c r="F58" s="42"/>
    </row>
    <row r="59" spans="1:13">
      <c r="A59" s="45"/>
    </row>
  </sheetData>
  <pageMargins left="0.7" right="0.7" top="0.75" bottom="0.75" header="0.3" footer="0.3"/>
  <pageSetup orientation="portrait" r:id="rId1"/>
  <legacy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FF0000"/>
  </sheetPr>
  <dimension ref="A2:M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ColWidth="9.109375" defaultRowHeight="13.8"/>
  <cols>
    <col min="1" max="1" width="22.6640625" style="14" customWidth="1"/>
    <col min="2" max="13" width="10.6640625" style="14" customWidth="1"/>
    <col min="14" max="14" width="9.109375" style="14"/>
    <col min="15" max="15" width="9.44140625" style="14" bestFit="1" customWidth="1"/>
    <col min="16" max="16384" width="9.109375" style="14"/>
  </cols>
  <sheetData>
    <row r="2" spans="1:13">
      <c r="A2" s="13" t="s">
        <v>44</v>
      </c>
      <c r="B2" s="14" t="s">
        <v>16</v>
      </c>
    </row>
    <row r="3" spans="1:13" s="16" customFormat="1">
      <c r="A3" s="15" t="s">
        <v>45</v>
      </c>
      <c r="B3" s="16" t="s">
        <v>127</v>
      </c>
    </row>
    <row r="4" spans="1:13">
      <c r="A4" s="13" t="s">
        <v>2</v>
      </c>
      <c r="B4" s="14" t="s">
        <v>4</v>
      </c>
    </row>
    <row r="5" spans="1:13">
      <c r="A5" s="13" t="s">
        <v>46</v>
      </c>
    </row>
    <row r="6" spans="1:13">
      <c r="A6" s="13" t="s">
        <v>47</v>
      </c>
      <c r="B6" s="14">
        <v>3</v>
      </c>
    </row>
    <row r="7" spans="1:13">
      <c r="A7" s="13" t="s">
        <v>48</v>
      </c>
      <c r="B7" s="14" t="e">
        <v>#N/A</v>
      </c>
    </row>
    <row r="8" spans="1:13">
      <c r="A8" s="13" t="s">
        <v>347</v>
      </c>
      <c r="B8" s="14" t="e">
        <v>#N/A</v>
      </c>
    </row>
    <row r="9" spans="1:13">
      <c r="A9" s="17"/>
    </row>
    <row r="10" spans="1:13">
      <c r="A10" s="17" t="s">
        <v>49</v>
      </c>
      <c r="B10" s="18">
        <v>43281</v>
      </c>
      <c r="C10" s="18">
        <v>43190</v>
      </c>
      <c r="D10" s="18">
        <v>43100</v>
      </c>
      <c r="E10" s="18">
        <v>43008</v>
      </c>
      <c r="F10" s="18">
        <v>42916</v>
      </c>
      <c r="G10" s="18">
        <v>42825</v>
      </c>
      <c r="H10" s="18">
        <v>42735</v>
      </c>
      <c r="I10" s="18">
        <v>42643</v>
      </c>
      <c r="J10" s="18">
        <v>42551</v>
      </c>
      <c r="K10" s="18">
        <v>42460</v>
      </c>
      <c r="L10" s="18">
        <v>42369</v>
      </c>
      <c r="M10" s="18">
        <v>42277</v>
      </c>
    </row>
    <row r="12" spans="1:13">
      <c r="A12" s="19" t="s">
        <v>50</v>
      </c>
      <c r="B12" s="20">
        <v>165.649</v>
      </c>
      <c r="C12" s="20">
        <v>147.45500000000001</v>
      </c>
      <c r="D12" s="20">
        <f>599.309-E12-F12-G12</f>
        <v>151.22200000000001</v>
      </c>
      <c r="E12" s="20">
        <v>160.26900000000001</v>
      </c>
      <c r="F12" s="20">
        <v>154.01599999999999</v>
      </c>
      <c r="G12" s="20">
        <v>133.80199999999999</v>
      </c>
      <c r="H12" s="20">
        <f>565.03-K12-J12-I12</f>
        <v>143.79499999999999</v>
      </c>
      <c r="I12" s="20">
        <v>151.13300000000001</v>
      </c>
      <c r="J12" s="20">
        <v>144.66999999999999</v>
      </c>
      <c r="K12" s="20">
        <v>125.432</v>
      </c>
      <c r="L12" s="20">
        <f>546.5-406.476</f>
        <v>140.024</v>
      </c>
      <c r="M12" s="20">
        <v>146.185</v>
      </c>
    </row>
    <row r="13" spans="1:13" s="21" customFormat="1">
      <c r="A13" s="21" t="s">
        <v>51</v>
      </c>
      <c r="B13" s="21">
        <f t="shared" ref="B13:I13" si="0">+B12/F12-1</f>
        <v>7.5531113650529891E-2</v>
      </c>
      <c r="C13" s="21">
        <f t="shared" si="0"/>
        <v>0.10203883350024689</v>
      </c>
      <c r="D13" s="21">
        <f t="shared" si="0"/>
        <v>5.1649918286449603E-2</v>
      </c>
      <c r="E13" s="21">
        <f t="shared" si="0"/>
        <v>6.0450067159389276E-2</v>
      </c>
      <c r="F13" s="21">
        <f t="shared" si="0"/>
        <v>6.4602198106034514E-2</v>
      </c>
      <c r="G13" s="21">
        <f t="shared" si="0"/>
        <v>6.672938325148281E-2</v>
      </c>
      <c r="H13" s="21">
        <f t="shared" si="0"/>
        <v>2.6931097526138315E-2</v>
      </c>
      <c r="I13" s="21">
        <f t="shared" si="0"/>
        <v>3.3847521975578942E-2</v>
      </c>
    </row>
    <row r="14" spans="1:13" s="24" customFormat="1">
      <c r="A14" s="22" t="s">
        <v>52</v>
      </c>
      <c r="B14" s="23" t="s">
        <v>3</v>
      </c>
      <c r="C14" s="23" t="s">
        <v>3</v>
      </c>
      <c r="D14" s="23" t="s">
        <v>3</v>
      </c>
      <c r="E14" s="23" t="s">
        <v>3</v>
      </c>
      <c r="F14" s="23" t="s">
        <v>3</v>
      </c>
      <c r="G14" s="23" t="s">
        <v>3</v>
      </c>
      <c r="H14" s="23" t="s">
        <v>3</v>
      </c>
      <c r="I14" s="23" t="s">
        <v>3</v>
      </c>
      <c r="J14" s="22"/>
      <c r="K14" s="22"/>
      <c r="L14" s="22"/>
      <c r="M14" s="22"/>
    </row>
    <row r="16" spans="1:13" s="17" customFormat="1">
      <c r="A16" s="25" t="s">
        <v>53</v>
      </c>
      <c r="B16" s="26">
        <f>B22-B21-B20-B19</f>
        <v>36.925000000000004</v>
      </c>
      <c r="C16" s="26">
        <f>C22-C21-C20-C19</f>
        <v>20.635000000000002</v>
      </c>
      <c r="D16" s="26">
        <f>D22-D21-D20-D19</f>
        <v>29.738000000000003</v>
      </c>
      <c r="E16" s="26">
        <f>E22-E21-E20-E19</f>
        <v>38.795000000000002</v>
      </c>
      <c r="F16" s="26">
        <f t="shared" ref="F16:M16" si="1">F22-F21-F20-F19</f>
        <v>-28.028000000000006</v>
      </c>
      <c r="G16" s="26">
        <f t="shared" si="1"/>
        <v>23.141999999999999</v>
      </c>
      <c r="H16" s="26">
        <f t="shared" si="1"/>
        <v>29.405000000000001</v>
      </c>
      <c r="I16" s="26">
        <f t="shared" si="1"/>
        <v>37.146000000000001</v>
      </c>
      <c r="J16" s="26">
        <f t="shared" si="1"/>
        <v>34.786999999999999</v>
      </c>
      <c r="K16" s="26">
        <f t="shared" si="1"/>
        <v>19.263000000000002</v>
      </c>
      <c r="L16" s="26">
        <f t="shared" si="1"/>
        <v>24.318000000000001</v>
      </c>
      <c r="M16" s="26">
        <f t="shared" si="1"/>
        <v>32.609000000000002</v>
      </c>
    </row>
    <row r="17" spans="1:13" s="21" customFormat="1">
      <c r="A17" s="21" t="s">
        <v>54</v>
      </c>
      <c r="B17" s="21">
        <f>+B16/B12</f>
        <v>0.22291109514696741</v>
      </c>
      <c r="C17" s="21">
        <f>+C16/C12</f>
        <v>0.13994099894883186</v>
      </c>
      <c r="D17" s="21">
        <f>+D16/D12</f>
        <v>0.19665128089828202</v>
      </c>
      <c r="E17" s="21">
        <f>+E16/E12</f>
        <v>0.24206178362627831</v>
      </c>
      <c r="F17" s="21">
        <f>+F16/F12</f>
        <v>-0.18198109287346775</v>
      </c>
      <c r="G17" s="21">
        <f t="shared" ref="G17:M17" si="2">+G16/G12</f>
        <v>0.1729570559483416</v>
      </c>
      <c r="H17" s="21">
        <f t="shared" si="2"/>
        <v>0.20449250669355681</v>
      </c>
      <c r="I17" s="21">
        <f t="shared" si="2"/>
        <v>0.24578351518199201</v>
      </c>
      <c r="J17" s="21">
        <f t="shared" si="2"/>
        <v>0.24045759314301515</v>
      </c>
      <c r="K17" s="21">
        <f t="shared" si="2"/>
        <v>0.15357325084507942</v>
      </c>
      <c r="L17" s="21">
        <f t="shared" si="2"/>
        <v>0.17367022796092099</v>
      </c>
      <c r="M17" s="21">
        <f t="shared" si="2"/>
        <v>0.22306666210623527</v>
      </c>
    </row>
    <row r="18" spans="1:13" s="24" customFormat="1"/>
    <row r="19" spans="1:13" s="24" customFormat="1">
      <c r="A19" s="19" t="s">
        <v>55</v>
      </c>
      <c r="B19" s="20">
        <v>0</v>
      </c>
      <c r="C19" s="20">
        <v>0</v>
      </c>
      <c r="D19" s="20">
        <v>0.17599999999999999</v>
      </c>
      <c r="E19" s="20">
        <v>0</v>
      </c>
      <c r="F19" s="20">
        <v>0</v>
      </c>
      <c r="G19" s="20">
        <v>0</v>
      </c>
      <c r="H19" s="20">
        <v>0</v>
      </c>
      <c r="I19" s="20">
        <v>0</v>
      </c>
      <c r="J19" s="20">
        <v>0</v>
      </c>
      <c r="K19" s="20">
        <v>0</v>
      </c>
      <c r="L19" s="20">
        <v>0</v>
      </c>
      <c r="M19" s="20">
        <v>0</v>
      </c>
    </row>
    <row r="20" spans="1:13" s="24" customFormat="1">
      <c r="A20" s="19" t="s">
        <v>56</v>
      </c>
      <c r="B20" s="20">
        <v>0</v>
      </c>
      <c r="C20" s="20">
        <v>0</v>
      </c>
      <c r="D20" s="20">
        <v>0</v>
      </c>
      <c r="E20" s="20">
        <v>0</v>
      </c>
      <c r="F20" s="20">
        <v>0</v>
      </c>
      <c r="G20" s="20">
        <v>0</v>
      </c>
      <c r="H20" s="20">
        <v>0</v>
      </c>
      <c r="I20" s="20">
        <v>0</v>
      </c>
      <c r="J20" s="20">
        <v>0</v>
      </c>
      <c r="K20" s="20">
        <v>0</v>
      </c>
      <c r="L20" s="20">
        <v>0</v>
      </c>
      <c r="M20" s="20">
        <v>0</v>
      </c>
    </row>
    <row r="21" spans="1:13" s="24" customFormat="1">
      <c r="A21" s="19" t="s">
        <v>57</v>
      </c>
      <c r="B21" s="20">
        <v>0.17199999999999999</v>
      </c>
      <c r="C21" s="20">
        <f>1.586+2.1+0.311</f>
        <v>3.9969999999999999</v>
      </c>
      <c r="D21" s="20">
        <v>0.316</v>
      </c>
      <c r="E21" s="20">
        <v>0.754</v>
      </c>
      <c r="F21" s="20">
        <v>64.114000000000004</v>
      </c>
      <c r="G21" s="20">
        <v>0</v>
      </c>
      <c r="H21" s="20">
        <v>0</v>
      </c>
      <c r="I21" s="20">
        <v>0</v>
      </c>
      <c r="J21" s="20">
        <v>0</v>
      </c>
      <c r="K21" s="20">
        <v>0</v>
      </c>
      <c r="L21" s="20">
        <f>0.094+1.94+0.302+1.111</f>
        <v>3.4470000000000001</v>
      </c>
      <c r="M21" s="20">
        <v>0.50700000000000001</v>
      </c>
    </row>
    <row r="22" spans="1:13" s="17" customFormat="1">
      <c r="A22" s="17" t="s">
        <v>58</v>
      </c>
      <c r="B22" s="27">
        <v>37.097000000000001</v>
      </c>
      <c r="C22" s="27">
        <v>24.632000000000001</v>
      </c>
      <c r="D22" s="27">
        <v>30.23</v>
      </c>
      <c r="E22" s="27">
        <v>39.548999999999999</v>
      </c>
      <c r="F22" s="27">
        <v>36.085999999999999</v>
      </c>
      <c r="G22" s="27">
        <v>23.141999999999999</v>
      </c>
      <c r="H22" s="27">
        <v>29.405000000000001</v>
      </c>
      <c r="I22" s="27">
        <v>37.146000000000001</v>
      </c>
      <c r="J22" s="27">
        <v>34.786999999999999</v>
      </c>
      <c r="K22" s="27">
        <v>19.263000000000002</v>
      </c>
      <c r="L22" s="27">
        <v>27.765000000000001</v>
      </c>
      <c r="M22" s="27">
        <v>33.116</v>
      </c>
    </row>
    <row r="23" spans="1:13" s="17" customFormat="1">
      <c r="B23" s="27"/>
      <c r="C23" s="27"/>
      <c r="D23" s="27"/>
      <c r="E23" s="27"/>
      <c r="F23" s="27"/>
      <c r="G23" s="27"/>
      <c r="H23" s="27"/>
      <c r="I23" s="27"/>
      <c r="J23" s="27"/>
      <c r="K23" s="27"/>
      <c r="L23" s="27"/>
      <c r="M23" s="27"/>
    </row>
    <row r="24" spans="1:13" s="17" customFormat="1">
      <c r="A24" s="17" t="s">
        <v>59</v>
      </c>
      <c r="B24" s="27">
        <f t="shared" ref="B24:J24" si="3">SUM(B22:E22)</f>
        <v>131.50800000000001</v>
      </c>
      <c r="C24" s="27">
        <f t="shared" si="3"/>
        <v>130.49700000000001</v>
      </c>
      <c r="D24" s="27">
        <f t="shared" si="3"/>
        <v>129.00700000000001</v>
      </c>
      <c r="E24" s="27">
        <f t="shared" si="3"/>
        <v>128.18199999999999</v>
      </c>
      <c r="F24" s="27">
        <f t="shared" si="3"/>
        <v>125.779</v>
      </c>
      <c r="G24" s="27">
        <f t="shared" si="3"/>
        <v>124.47999999999999</v>
      </c>
      <c r="H24" s="27">
        <f t="shared" si="3"/>
        <v>120.601</v>
      </c>
      <c r="I24" s="27">
        <f t="shared" si="3"/>
        <v>118.961</v>
      </c>
      <c r="J24" s="27">
        <f t="shared" si="3"/>
        <v>114.931</v>
      </c>
      <c r="K24" s="27"/>
      <c r="L24" s="27"/>
      <c r="M24" s="27"/>
    </row>
    <row r="25" spans="1:13" s="24" customFormat="1">
      <c r="A25" s="19" t="s">
        <v>60</v>
      </c>
      <c r="B25" s="28">
        <f>140.144-B24</f>
        <v>8.6359999999999957</v>
      </c>
      <c r="C25" s="28">
        <f>136.45-C24</f>
        <v>5.9529999999999745</v>
      </c>
      <c r="D25" s="28">
        <f>135.363-D24</f>
        <v>6.3559999999999945</v>
      </c>
      <c r="E25" s="28">
        <f>134.7-E24</f>
        <v>6.5180000000000007</v>
      </c>
      <c r="F25" s="28">
        <f>132.2-F24</f>
        <v>6.4209999999999923</v>
      </c>
      <c r="G25" s="28">
        <f>128.8-G24</f>
        <v>4.3200000000000216</v>
      </c>
      <c r="H25" s="28">
        <f>124.5-H24</f>
        <v>3.8990000000000009</v>
      </c>
      <c r="I25" s="28">
        <f>121.5-I24</f>
        <v>2.5390000000000015</v>
      </c>
      <c r="J25" s="28">
        <f>117.2-J24</f>
        <v>2.2690000000000055</v>
      </c>
      <c r="K25" s="28"/>
      <c r="L25" s="28"/>
      <c r="M25" s="28"/>
    </row>
    <row r="26" spans="1:13" s="24" customFormat="1">
      <c r="A26" s="19" t="s">
        <v>61</v>
      </c>
      <c r="B26" s="29">
        <v>0</v>
      </c>
      <c r="C26" s="29">
        <v>0</v>
      </c>
      <c r="D26" s="29">
        <v>0</v>
      </c>
      <c r="E26" s="29">
        <v>0</v>
      </c>
      <c r="F26" s="29">
        <v>0</v>
      </c>
      <c r="G26" s="29">
        <v>0</v>
      </c>
      <c r="H26" s="29">
        <v>0</v>
      </c>
      <c r="I26" s="29">
        <v>0</v>
      </c>
      <c r="J26" s="29">
        <v>0</v>
      </c>
      <c r="K26" s="30"/>
      <c r="L26" s="30"/>
      <c r="M26" s="30"/>
    </row>
    <row r="27" spans="1:13" s="32" customFormat="1">
      <c r="A27" s="17" t="s">
        <v>62</v>
      </c>
      <c r="B27" s="27">
        <f t="shared" ref="B27" si="4">SUM(B24:B26)</f>
        <v>140.14400000000001</v>
      </c>
      <c r="C27" s="27">
        <f t="shared" ref="C27:J27" si="5">SUM(C24:C26)</f>
        <v>136.44999999999999</v>
      </c>
      <c r="D27" s="27">
        <f t="shared" si="5"/>
        <v>135.363</v>
      </c>
      <c r="E27" s="27">
        <f t="shared" si="5"/>
        <v>134.69999999999999</v>
      </c>
      <c r="F27" s="27">
        <f t="shared" si="5"/>
        <v>132.19999999999999</v>
      </c>
      <c r="G27" s="27">
        <f t="shared" si="5"/>
        <v>128.80000000000001</v>
      </c>
      <c r="H27" s="27">
        <f t="shared" si="5"/>
        <v>124.5</v>
      </c>
      <c r="I27" s="27">
        <f t="shared" si="5"/>
        <v>121.5</v>
      </c>
      <c r="J27" s="27">
        <f t="shared" si="5"/>
        <v>117.2</v>
      </c>
      <c r="K27" s="31"/>
      <c r="L27" s="31"/>
      <c r="M27" s="31"/>
    </row>
    <row r="28" spans="1:13" s="24" customFormat="1"/>
    <row r="29" spans="1:13" s="17" customFormat="1">
      <c r="A29" s="17" t="s">
        <v>58</v>
      </c>
      <c r="B29" s="27">
        <f>B22</f>
        <v>37.097000000000001</v>
      </c>
      <c r="C29" s="27">
        <f>C22</f>
        <v>24.632000000000001</v>
      </c>
      <c r="D29" s="27">
        <f>D22</f>
        <v>30.23</v>
      </c>
      <c r="E29" s="27">
        <f>E22</f>
        <v>39.548999999999999</v>
      </c>
      <c r="F29" s="27">
        <f t="shared" ref="F29:M29" si="6">F22</f>
        <v>36.085999999999999</v>
      </c>
      <c r="G29" s="27">
        <f t="shared" si="6"/>
        <v>23.141999999999999</v>
      </c>
      <c r="H29" s="27">
        <f t="shared" si="6"/>
        <v>29.405000000000001</v>
      </c>
      <c r="I29" s="27">
        <f t="shared" si="6"/>
        <v>37.146000000000001</v>
      </c>
      <c r="J29" s="27">
        <f t="shared" si="6"/>
        <v>34.786999999999999</v>
      </c>
      <c r="K29" s="27">
        <f t="shared" si="6"/>
        <v>19.263000000000002</v>
      </c>
      <c r="L29" s="27">
        <f t="shared" si="6"/>
        <v>27.765000000000001</v>
      </c>
      <c r="M29" s="27">
        <f t="shared" si="6"/>
        <v>33.116</v>
      </c>
    </row>
    <row r="30" spans="1:13" s="33" customFormat="1">
      <c r="A30" s="20" t="s">
        <v>63</v>
      </c>
      <c r="B30" s="20">
        <f>-11.423-C30</f>
        <v>-5.8760000000000003</v>
      </c>
      <c r="C30" s="20">
        <v>-5.5469999999999997</v>
      </c>
      <c r="D30" s="20">
        <f>-25.029-E30-F30-G30</f>
        <v>-5.6119999999999983</v>
      </c>
      <c r="E30" s="20">
        <f>-19.417-G30-F30</f>
        <v>-5.338000000000001</v>
      </c>
      <c r="F30" s="20">
        <f>-14.079-G30</f>
        <v>-6.0340000000000007</v>
      </c>
      <c r="G30" s="20">
        <v>-8.0449999999999999</v>
      </c>
      <c r="H30" s="20">
        <f>-42.712-K30-J30-I30</f>
        <v>-8.9890000000000043</v>
      </c>
      <c r="I30" s="20">
        <f>-33.723-K30-J30</f>
        <v>-15.329000000000001</v>
      </c>
      <c r="J30" s="20">
        <f>-18.394-K30</f>
        <v>-2.2719999999999985</v>
      </c>
      <c r="K30" s="20">
        <v>-16.122</v>
      </c>
      <c r="L30" s="20">
        <f>-35.232-(-33.364)</f>
        <v>-1.8680000000000021</v>
      </c>
      <c r="M30" s="20">
        <f>-33.364+17.063</f>
        <v>-16.300999999999998</v>
      </c>
    </row>
    <row r="31" spans="1:13" s="33" customFormat="1">
      <c r="A31" s="20" t="s">
        <v>64</v>
      </c>
      <c r="B31" s="20">
        <f>-0.084-C31</f>
        <v>-4.8000000000000008E-2</v>
      </c>
      <c r="C31" s="20">
        <v>-3.5999999999999997E-2</v>
      </c>
      <c r="D31" s="20">
        <f>-0.146-E31-F31-G31</f>
        <v>0.10200000000000001</v>
      </c>
      <c r="E31" s="20">
        <f>-0.248-G31-F31</f>
        <v>-5.8999999999999997E-2</v>
      </c>
      <c r="F31" s="20">
        <f>-0.189-G31</f>
        <v>-0.13500000000000001</v>
      </c>
      <c r="G31" s="20">
        <v>-5.3999999999999999E-2</v>
      </c>
      <c r="H31" s="20">
        <f>-0.274-K31-J31-I31</f>
        <v>-3.2000000000000028E-2</v>
      </c>
      <c r="I31" s="20">
        <f>-0.242-K31-J31</f>
        <v>-3.8999999999999979E-2</v>
      </c>
      <c r="J31" s="20">
        <f>-0.203-K31</f>
        <v>-0.10200000000000001</v>
      </c>
      <c r="K31" s="20">
        <v>-0.10100000000000001</v>
      </c>
      <c r="L31" s="20">
        <f>-0.282-(-0.031)</f>
        <v>-0.251</v>
      </c>
      <c r="M31" s="20">
        <f>-0.031+0.055</f>
        <v>2.4E-2</v>
      </c>
    </row>
    <row r="32" spans="1:13" s="33" customFormat="1">
      <c r="A32" s="20" t="s">
        <v>65</v>
      </c>
      <c r="B32" s="20">
        <f>-11.338+6.425+2.617-2.184-C32</f>
        <v>1.6230000000000002</v>
      </c>
      <c r="C32" s="20">
        <f>1.242+1.405-0.504-8.246</f>
        <v>-6.1029999999999998</v>
      </c>
      <c r="D32" s="20">
        <f>-4.664+2.084-1.404-0.6-E32-F32-G32</f>
        <v>2.0150000000000006</v>
      </c>
      <c r="E32" s="20">
        <f>-3.887+2.046-1.722-3.036-G32-F32</f>
        <v>3.7830000000000013</v>
      </c>
      <c r="F32" s="20">
        <f>-4.57-1.458+0.517-4.871-G32</f>
        <v>-2.4870000000000019</v>
      </c>
      <c r="G32" s="20">
        <f>5.569-4.485-0.145-8.834</f>
        <v>-7.8949999999999996</v>
      </c>
      <c r="H32" s="20">
        <f>-1.029+0.076-2.256-6.186-K32-J32-I32</f>
        <v>2.1040000000000001</v>
      </c>
      <c r="I32" s="20">
        <f>-3.188+2.376-3.262-7.425-K32-J32</f>
        <v>-8.9969999999999999</v>
      </c>
      <c r="J32" s="20">
        <f>-0.916+1.116-0.782-1.92-K32</f>
        <v>7.06</v>
      </c>
      <c r="K32" s="20">
        <f>7.133-6.112-1.492-9.091</f>
        <v>-9.5619999999999994</v>
      </c>
      <c r="L32" s="20">
        <f>-4.419-3.597+5.24+4.14-(-8+1.588+1.743-7.075)</f>
        <v>13.108000000000001</v>
      </c>
      <c r="M32" s="20">
        <f>-8+1.588+1.743-7.075-(-7.674-0.371+3.853+0.337)</f>
        <v>-7.8889999999999993</v>
      </c>
    </row>
    <row r="33" spans="1:13" s="33" customFormat="1">
      <c r="A33" s="20" t="s">
        <v>66</v>
      </c>
      <c r="B33" s="20">
        <v>0</v>
      </c>
      <c r="C33" s="20">
        <v>0</v>
      </c>
      <c r="D33" s="20">
        <v>0</v>
      </c>
      <c r="E33" s="20">
        <v>0</v>
      </c>
      <c r="F33" s="20">
        <v>0</v>
      </c>
      <c r="G33" s="20">
        <v>0</v>
      </c>
      <c r="H33" s="20">
        <v>0</v>
      </c>
      <c r="I33" s="20">
        <v>0</v>
      </c>
      <c r="J33" s="20">
        <v>0</v>
      </c>
      <c r="K33" s="20">
        <v>0</v>
      </c>
      <c r="L33" s="20">
        <v>0</v>
      </c>
      <c r="M33" s="20">
        <v>0</v>
      </c>
    </row>
    <row r="34" spans="1:13" s="33" customFormat="1">
      <c r="A34" s="20" t="s">
        <v>57</v>
      </c>
      <c r="B34" s="29">
        <f>B35-SUM(B29:B33)</f>
        <v>2.4889999999999972</v>
      </c>
      <c r="C34" s="29">
        <f>C35-SUM(C29:C33)</f>
        <v>-0.15199999999999925</v>
      </c>
      <c r="D34" s="29">
        <f>D35-SUM(D29:D33)</f>
        <v>1.7029999999999994</v>
      </c>
      <c r="E34" s="29">
        <f>E35-SUM(E29:E33)</f>
        <v>1.1559999999999917</v>
      </c>
      <c r="F34" s="29">
        <f t="shared" ref="F34:M34" si="7">F35-SUM(F29:F33)</f>
        <v>1.9030000000000022</v>
      </c>
      <c r="G34" s="29">
        <f t="shared" si="7"/>
        <v>3.5280000000000005</v>
      </c>
      <c r="H34" s="29">
        <f t="shared" si="7"/>
        <v>1.8749999999999964</v>
      </c>
      <c r="I34" s="29">
        <f t="shared" si="7"/>
        <v>7.7049999999999983</v>
      </c>
      <c r="J34" s="29">
        <f t="shared" si="7"/>
        <v>-5.6120000000000019</v>
      </c>
      <c r="K34" s="29">
        <f t="shared" si="7"/>
        <v>8.2459999999999969</v>
      </c>
      <c r="L34" s="29">
        <f t="shared" si="7"/>
        <v>-8.7769999999999939</v>
      </c>
      <c r="M34" s="29">
        <f t="shared" si="7"/>
        <v>7.6909999999999989</v>
      </c>
    </row>
    <row r="35" spans="1:13" s="27" customFormat="1">
      <c r="A35" s="27" t="s">
        <v>67</v>
      </c>
      <c r="B35" s="27">
        <f>48.079-C35</f>
        <v>35.284999999999997</v>
      </c>
      <c r="C35" s="27">
        <v>12.794</v>
      </c>
      <c r="D35" s="27">
        <f>107.538-E35-F35-G35</f>
        <v>28.438000000000002</v>
      </c>
      <c r="E35" s="27">
        <f>79.1-G35-F35</f>
        <v>39.090999999999994</v>
      </c>
      <c r="F35" s="27">
        <f>40.009-G35</f>
        <v>29.332999999999998</v>
      </c>
      <c r="G35" s="27">
        <v>10.676</v>
      </c>
      <c r="H35" s="27">
        <f>80.434-K35-J35-I35</f>
        <v>24.362999999999992</v>
      </c>
      <c r="I35" s="27">
        <f>56.071-K35-J35</f>
        <v>20.485999999999997</v>
      </c>
      <c r="J35" s="27">
        <f>35.585-K35</f>
        <v>33.861000000000004</v>
      </c>
      <c r="K35" s="27">
        <v>1.724</v>
      </c>
      <c r="L35" s="27">
        <f>70.507-40.53</f>
        <v>29.977000000000004</v>
      </c>
      <c r="M35" s="27">
        <f>40.53-23.889</f>
        <v>16.641000000000002</v>
      </c>
    </row>
    <row r="36" spans="1:13" s="33" customFormat="1">
      <c r="A36" s="20" t="s">
        <v>68</v>
      </c>
      <c r="B36" s="29">
        <f>-35.492-C36</f>
        <v>-27.571999999999996</v>
      </c>
      <c r="C36" s="29">
        <v>-7.92</v>
      </c>
      <c r="D36" s="29">
        <f>-64.393-E36-F36-G36</f>
        <v>-21.163000000000004</v>
      </c>
      <c r="E36" s="29">
        <f>-43.23-G36-F36</f>
        <v>-18.857999999999997</v>
      </c>
      <c r="F36" s="29">
        <f>-24.372-G36</f>
        <v>-15.738</v>
      </c>
      <c r="G36" s="29">
        <v>-8.6340000000000003</v>
      </c>
      <c r="H36" s="29">
        <f>-54.2-K36-J36-I36</f>
        <v>-16.765000000000001</v>
      </c>
      <c r="I36" s="29">
        <f>-37.435-K36-J36</f>
        <v>-13.975000000000003</v>
      </c>
      <c r="J36" s="29">
        <f>-23.46-K36</f>
        <v>-13.612</v>
      </c>
      <c r="K36" s="29">
        <v>-9.8480000000000008</v>
      </c>
      <c r="L36" s="29">
        <f>-49.995-(-31.038)</f>
        <v>-18.956999999999997</v>
      </c>
      <c r="M36" s="29">
        <f>-31.038+16.311</f>
        <v>-14.727</v>
      </c>
    </row>
    <row r="37" spans="1:13" s="27" customFormat="1">
      <c r="A37" s="27" t="s">
        <v>69</v>
      </c>
      <c r="B37" s="27">
        <f>+B35+B36</f>
        <v>7.713000000000001</v>
      </c>
      <c r="C37" s="27">
        <f>+C35+C36</f>
        <v>4.8740000000000006</v>
      </c>
      <c r="D37" s="27">
        <f>+D35+D36</f>
        <v>7.2749999999999986</v>
      </c>
      <c r="E37" s="27">
        <f>+E35+E36</f>
        <v>20.232999999999997</v>
      </c>
      <c r="F37" s="27">
        <f>+F35+F36</f>
        <v>13.594999999999999</v>
      </c>
      <c r="G37" s="27">
        <f t="shared" ref="G37:M37" si="8">+G35+G36</f>
        <v>2.0419999999999998</v>
      </c>
      <c r="H37" s="27">
        <f t="shared" si="8"/>
        <v>7.5979999999999919</v>
      </c>
      <c r="I37" s="27">
        <f t="shared" si="8"/>
        <v>6.5109999999999939</v>
      </c>
      <c r="J37" s="27">
        <f t="shared" si="8"/>
        <v>20.249000000000002</v>
      </c>
      <c r="K37" s="27">
        <f t="shared" si="8"/>
        <v>-8.1240000000000006</v>
      </c>
      <c r="L37" s="27">
        <f t="shared" si="8"/>
        <v>11.020000000000007</v>
      </c>
      <c r="M37" s="27">
        <f t="shared" si="8"/>
        <v>1.9140000000000015</v>
      </c>
    </row>
    <row r="39" spans="1:13" s="35" customFormat="1">
      <c r="A39" s="34" t="s">
        <v>70</v>
      </c>
      <c r="B39" s="20">
        <v>33.299999999999997</v>
      </c>
      <c r="C39" s="20">
        <v>52.6</v>
      </c>
      <c r="D39" s="20">
        <v>36</v>
      </c>
      <c r="E39" s="20">
        <v>36.299999999999997</v>
      </c>
      <c r="F39" s="20">
        <v>55.6</v>
      </c>
      <c r="G39" s="20">
        <v>63</v>
      </c>
      <c r="H39" s="20">
        <v>62.6</v>
      </c>
      <c r="I39" s="20">
        <v>56.298999999999999</v>
      </c>
      <c r="J39" s="20">
        <v>55.8</v>
      </c>
      <c r="K39" s="20"/>
      <c r="L39" s="20"/>
      <c r="M39" s="20"/>
    </row>
    <row r="40" spans="1:13" s="35" customFormat="1">
      <c r="A40" s="34" t="s">
        <v>71</v>
      </c>
      <c r="B40" s="20">
        <v>350</v>
      </c>
      <c r="C40" s="20">
        <f>345.625+6.713</f>
        <v>352.33800000000002</v>
      </c>
      <c r="D40" s="20">
        <f>346.5+5.595</f>
        <v>352.09500000000003</v>
      </c>
      <c r="E40" s="20">
        <f>348.25+5.87</f>
        <v>354.12</v>
      </c>
      <c r="F40" s="20">
        <f>348.25+5.363</f>
        <v>353.613</v>
      </c>
      <c r="G40" s="20">
        <f>349.125+5.318</f>
        <v>354.44299999999998</v>
      </c>
      <c r="H40" s="20">
        <f>350+5.534</f>
        <v>355.53399999999999</v>
      </c>
      <c r="I40" s="20">
        <v>5.2869999999999999</v>
      </c>
      <c r="J40" s="20">
        <v>4.508</v>
      </c>
      <c r="K40" s="20"/>
      <c r="L40" s="20"/>
      <c r="M40" s="20"/>
    </row>
    <row r="41" spans="1:13" s="35" customFormat="1">
      <c r="A41" s="34" t="s">
        <v>72</v>
      </c>
      <c r="B41" s="20">
        <f>B39+B40+25+15+25+15+15+16+11+8.261+2.431</f>
        <v>515.99200000000008</v>
      </c>
      <c r="C41" s="20">
        <f>C39+C40+25+15+25+15+16+11+2.522</f>
        <v>514.46</v>
      </c>
      <c r="D41" s="20">
        <f>D39+D40+25+15+25+15+16+11+2.585</f>
        <v>497.68</v>
      </c>
      <c r="E41" s="20">
        <f>E39+E40+25+15+25+15+16+11+2.882</f>
        <v>500.30200000000002</v>
      </c>
      <c r="F41" s="20">
        <f>F39+F40+25+15+25+15+16+11+2.945</f>
        <v>519.15800000000002</v>
      </c>
      <c r="G41" s="20">
        <f>G39+G40+25+15+25+15+16+11+0.407</f>
        <v>524.85</v>
      </c>
      <c r="H41" s="20">
        <f>H39+H40+25+15+15+16+11+21.4+3.6+0.449</f>
        <v>525.58299999999997</v>
      </c>
      <c r="I41" s="20">
        <f>I39+I40+25+15+21.4+15+16+11+3.6+1.143+345.57</f>
        <v>515.29899999999998</v>
      </c>
      <c r="J41" s="20">
        <f>J39+J40+25+15+21.4+15+16+11+3.6+1.153+350.57</f>
        <v>519.03099999999995</v>
      </c>
      <c r="K41" s="20"/>
      <c r="L41" s="20"/>
      <c r="M41" s="20"/>
    </row>
    <row r="42" spans="1:13" s="35" customFormat="1">
      <c r="A42" s="34" t="s">
        <v>73</v>
      </c>
      <c r="B42" s="36">
        <f>(41764993+988200)/1000000*32.24</f>
        <v>1378.3629423200002</v>
      </c>
      <c r="C42" s="36">
        <f>(41700119+988200)/1000000*25.78</f>
        <v>1100.5048638200001</v>
      </c>
      <c r="D42" s="36">
        <f>(41294290+988200)/1000000*25.4</f>
        <v>1073.975246</v>
      </c>
      <c r="E42" s="36">
        <f>(41055465+988200)/1000000*23.02</f>
        <v>967.84516829999995</v>
      </c>
      <c r="F42" s="36">
        <f>(41047965+988200)/1000000*18.13</f>
        <v>762.11567144999992</v>
      </c>
      <c r="G42" s="36">
        <f>(40891927+988200)/1000000*14.11</f>
        <v>590.92859196999996</v>
      </c>
      <c r="H42" s="36">
        <f>(40738795+988200)/1000000*12.41</f>
        <v>517.83200795000005</v>
      </c>
      <c r="I42" s="36">
        <f>(40500202+988200)/1000000*10.3</f>
        <v>427.33054060000006</v>
      </c>
      <c r="J42" s="36">
        <f>(40500202+988200)/1000000*7.89</f>
        <v>327.34349177999997</v>
      </c>
      <c r="K42" s="36"/>
      <c r="L42" s="36"/>
      <c r="M42" s="36"/>
    </row>
    <row r="43" spans="1:13">
      <c r="B43" s="35"/>
      <c r="C43" s="35"/>
      <c r="D43" s="35"/>
      <c r="E43" s="35"/>
      <c r="F43" s="35"/>
      <c r="G43" s="35"/>
      <c r="H43" s="35"/>
    </row>
    <row r="44" spans="1:13">
      <c r="A44" s="19" t="s">
        <v>74</v>
      </c>
      <c r="B44" s="28">
        <v>2.0920000000000001</v>
      </c>
      <c r="C44" s="28">
        <v>2.3919999999999999</v>
      </c>
      <c r="D44" s="28">
        <v>1.9950000000000001</v>
      </c>
      <c r="E44" s="28">
        <v>2.3029999999999999</v>
      </c>
      <c r="F44" s="28">
        <v>2.6850000000000001</v>
      </c>
      <c r="G44" s="28">
        <v>2.226</v>
      </c>
      <c r="H44" s="28">
        <v>2.544</v>
      </c>
      <c r="I44" s="28">
        <v>3.5609999999999999</v>
      </c>
      <c r="J44" s="28">
        <v>0</v>
      </c>
      <c r="K44" s="28"/>
      <c r="L44" s="28"/>
      <c r="M44" s="28"/>
    </row>
    <row r="46" spans="1:13">
      <c r="A46" s="14" t="s">
        <v>75</v>
      </c>
      <c r="B46" s="33">
        <f t="shared" ref="B46:J46" si="9">SUM(B12:E12)</f>
        <v>624.59500000000003</v>
      </c>
      <c r="C46" s="33">
        <f t="shared" si="9"/>
        <v>612.96199999999999</v>
      </c>
      <c r="D46" s="33">
        <f t="shared" si="9"/>
        <v>599.30899999999997</v>
      </c>
      <c r="E46" s="33">
        <f t="shared" si="9"/>
        <v>591.88199999999995</v>
      </c>
      <c r="F46" s="33">
        <f t="shared" si="9"/>
        <v>582.74599999999998</v>
      </c>
      <c r="G46" s="33">
        <f t="shared" si="9"/>
        <v>573.4</v>
      </c>
      <c r="H46" s="33">
        <f t="shared" si="9"/>
        <v>565.03</v>
      </c>
      <c r="I46" s="33">
        <f t="shared" si="9"/>
        <v>561.25900000000001</v>
      </c>
      <c r="J46" s="33">
        <f t="shared" si="9"/>
        <v>556.31099999999992</v>
      </c>
    </row>
    <row r="47" spans="1:13">
      <c r="A47" s="14" t="s">
        <v>76</v>
      </c>
      <c r="B47" s="33">
        <f>+B27</f>
        <v>140.14400000000001</v>
      </c>
      <c r="C47" s="33">
        <f>+C27</f>
        <v>136.44999999999999</v>
      </c>
      <c r="D47" s="33">
        <f>+D27</f>
        <v>135.363</v>
      </c>
      <c r="E47" s="33">
        <f t="shared" ref="E47:J47" si="10">+E27</f>
        <v>134.69999999999999</v>
      </c>
      <c r="F47" s="33">
        <f t="shared" si="10"/>
        <v>132.19999999999999</v>
      </c>
      <c r="G47" s="33">
        <f t="shared" si="10"/>
        <v>128.80000000000001</v>
      </c>
      <c r="H47" s="33">
        <f t="shared" si="10"/>
        <v>124.5</v>
      </c>
      <c r="I47" s="33">
        <f t="shared" si="10"/>
        <v>121.5</v>
      </c>
      <c r="J47" s="33">
        <f t="shared" si="10"/>
        <v>117.2</v>
      </c>
    </row>
    <row r="48" spans="1:13">
      <c r="A48" s="14" t="s">
        <v>77</v>
      </c>
      <c r="B48" s="33">
        <f t="shared" ref="B48:J48" si="11">+SUM(B37:E37)</f>
        <v>40.094999999999999</v>
      </c>
      <c r="C48" s="33">
        <f t="shared" si="11"/>
        <v>45.976999999999997</v>
      </c>
      <c r="D48" s="33">
        <f t="shared" si="11"/>
        <v>43.144999999999996</v>
      </c>
      <c r="E48" s="33">
        <f t="shared" si="11"/>
        <v>43.467999999999989</v>
      </c>
      <c r="F48" s="33">
        <f t="shared" si="11"/>
        <v>29.745999999999988</v>
      </c>
      <c r="G48" s="33">
        <f t="shared" si="11"/>
        <v>36.399999999999991</v>
      </c>
      <c r="H48" s="33">
        <f t="shared" si="11"/>
        <v>26.233999999999988</v>
      </c>
      <c r="I48" s="33">
        <f t="shared" si="11"/>
        <v>29.656000000000002</v>
      </c>
      <c r="J48" s="33">
        <f t="shared" si="11"/>
        <v>25.059000000000012</v>
      </c>
    </row>
    <row r="50" spans="1:13" s="37" customFormat="1">
      <c r="A50" s="37" t="s">
        <v>78</v>
      </c>
      <c r="B50" s="37">
        <f t="shared" ref="B50" si="12">+SUM(B39:B40)/B47</f>
        <v>2.7350439547893597</v>
      </c>
      <c r="C50" s="37">
        <f t="shared" ref="C50:J50" si="13">+SUM(C39:C40)/C47</f>
        <v>2.9676658116526204</v>
      </c>
      <c r="D50" s="37">
        <f t="shared" si="13"/>
        <v>2.8670685490126551</v>
      </c>
      <c r="E50" s="37">
        <f t="shared" si="13"/>
        <v>2.8984409799554571</v>
      </c>
      <c r="F50" s="37">
        <f t="shared" si="13"/>
        <v>3.0954084720121031</v>
      </c>
      <c r="G50" s="37">
        <f t="shared" si="13"/>
        <v>3.2410170807453413</v>
      </c>
      <c r="H50" s="37">
        <f t="shared" si="13"/>
        <v>3.3585060240963855</v>
      </c>
      <c r="I50" s="37">
        <f t="shared" si="13"/>
        <v>0.50688065843621399</v>
      </c>
      <c r="J50" s="37">
        <f t="shared" si="13"/>
        <v>0.51457337883959042</v>
      </c>
    </row>
    <row r="51" spans="1:13" s="37" customFormat="1">
      <c r="A51" s="37" t="s">
        <v>79</v>
      </c>
      <c r="B51" s="37">
        <f t="shared" ref="B51" si="14">+B41/B47</f>
        <v>3.6818700764927508</v>
      </c>
      <c r="C51" s="37">
        <f t="shared" ref="C51:J51" si="15">+C41/C47</f>
        <v>3.7703187980945407</v>
      </c>
      <c r="D51" s="37">
        <f t="shared" si="15"/>
        <v>3.676632462341999</v>
      </c>
      <c r="E51" s="37">
        <f t="shared" si="15"/>
        <v>3.7141945063103199</v>
      </c>
      <c r="F51" s="37">
        <f t="shared" si="15"/>
        <v>3.9270650529500761</v>
      </c>
      <c r="G51" s="37">
        <f t="shared" si="15"/>
        <v>4.074922360248447</v>
      </c>
      <c r="H51" s="37">
        <f t="shared" si="15"/>
        <v>4.2215502008032129</v>
      </c>
      <c r="I51" s="37">
        <f t="shared" si="15"/>
        <v>4.2411440329218104</v>
      </c>
      <c r="J51" s="37">
        <f t="shared" si="15"/>
        <v>4.4285921501706476</v>
      </c>
    </row>
    <row r="52" spans="1:13" s="37" customFormat="1">
      <c r="A52" s="37" t="s">
        <v>80</v>
      </c>
      <c r="B52" s="37">
        <f t="shared" ref="B52" si="16">+(B41-B44)/B47</f>
        <v>3.6669425733531229</v>
      </c>
      <c r="C52" s="37">
        <f t="shared" ref="C52:J52" si="17">+(C41-C44)/C47</f>
        <v>3.7527885672407479</v>
      </c>
      <c r="D52" s="37">
        <f t="shared" si="17"/>
        <v>3.6618943138080571</v>
      </c>
      <c r="E52" s="37">
        <f t="shared" si="17"/>
        <v>3.6970972531551602</v>
      </c>
      <c r="F52" s="37">
        <f t="shared" si="17"/>
        <v>3.9067549167927393</v>
      </c>
      <c r="G52" s="37">
        <f t="shared" si="17"/>
        <v>4.0576397515527951</v>
      </c>
      <c r="H52" s="37">
        <f t="shared" si="17"/>
        <v>4.2011164658634534</v>
      </c>
      <c r="I52" s="37">
        <f t="shared" si="17"/>
        <v>4.2118353909465016</v>
      </c>
      <c r="J52" s="37">
        <f t="shared" si="17"/>
        <v>4.4285921501706476</v>
      </c>
    </row>
    <row r="53" spans="1:13" s="38" customFormat="1">
      <c r="A53" s="38" t="s">
        <v>81</v>
      </c>
      <c r="B53" s="38">
        <f>+B48/B41</f>
        <v>7.7704693096016977E-2</v>
      </c>
      <c r="C53" s="38">
        <f>+C48/C41</f>
        <v>8.9369435913384893E-2</v>
      </c>
      <c r="D53" s="38">
        <f>+D48/D41</f>
        <v>8.6692252049509713E-2</v>
      </c>
      <c r="E53" s="38">
        <f t="shared" ref="E53:J53" si="18">+E48/E41</f>
        <v>8.6883522352499062E-2</v>
      </c>
      <c r="F53" s="38">
        <f t="shared" si="18"/>
        <v>5.729662260814624E-2</v>
      </c>
      <c r="G53" s="38">
        <f t="shared" si="18"/>
        <v>6.9353148518624355E-2</v>
      </c>
      <c r="H53" s="38">
        <f t="shared" si="18"/>
        <v>4.9914095395018461E-2</v>
      </c>
      <c r="I53" s="38">
        <f t="shared" si="18"/>
        <v>5.7551052883859671E-2</v>
      </c>
      <c r="J53" s="38">
        <f t="shared" si="18"/>
        <v>4.8280353196629898E-2</v>
      </c>
    </row>
    <row r="54" spans="1:13" s="38" customFormat="1">
      <c r="A54" s="39" t="s">
        <v>82</v>
      </c>
      <c r="B54" s="40"/>
      <c r="C54" s="40"/>
      <c r="D54" s="40"/>
      <c r="E54" s="40"/>
      <c r="F54" s="40"/>
      <c r="G54" s="40"/>
      <c r="H54" s="40"/>
      <c r="I54" s="40"/>
      <c r="J54" s="40"/>
      <c r="K54" s="39"/>
      <c r="L54" s="39"/>
      <c r="M54" s="39"/>
    </row>
    <row r="55" spans="1:13" s="38" customFormat="1">
      <c r="A55" s="38" t="s">
        <v>83</v>
      </c>
      <c r="B55" s="41">
        <f>IF(B42=0,IF(B54="","","*"&amp;TEXT(B54,"0.0x")),(B41+B42-B44)/B47)</f>
        <v>13.502275818586597</v>
      </c>
      <c r="C55" s="41">
        <f>IF(C42=0,IF(C54="","","*"&amp;TEXT(C54,"0.0x")),(C41+C42-C44)/C47)</f>
        <v>11.818049569952365</v>
      </c>
      <c r="D55" s="41">
        <f>IF(D42=0,IF(D54="","","*"&amp;TEXT(D54,"0.0x")),(D41+D42-D44)/D47)</f>
        <v>11.59593275858248</v>
      </c>
      <c r="E55" s="41">
        <f t="shared" ref="E55:J55" si="19">IF(E42=0,IF(E54="","","*"&amp;TEXT(E54,"0.0x")),(E41+E42-E44)/E47)</f>
        <v>10.882287812175203</v>
      </c>
      <c r="F55" s="41">
        <f t="shared" si="19"/>
        <v>9.6716238385022706</v>
      </c>
      <c r="G55" s="41">
        <f t="shared" si="19"/>
        <v>8.6455946581521719</v>
      </c>
      <c r="H55" s="41">
        <f t="shared" si="19"/>
        <v>8.3604097024096387</v>
      </c>
      <c r="I55" s="41">
        <f t="shared" si="19"/>
        <v>7.7289591818930043</v>
      </c>
      <c r="J55" s="41">
        <f t="shared" si="19"/>
        <v>7.2216253564846413</v>
      </c>
      <c r="K55" s="41" t="str">
        <f>IF(K42=0,IF(K54="","",CONCATENATE("* ",K54,"x")),(K41+K42-K44)/K47)</f>
        <v/>
      </c>
      <c r="L55" s="41" t="str">
        <f>IF(L42=0,IF(L54="","",CONCATENATE("* ",L54,"x")),(L41+L42-L44)/L47)</f>
        <v/>
      </c>
      <c r="M55" s="41" t="str">
        <f>IF(M42=0,IF(M54="","",CONCATENATE("* ",M54,"x")),(M41+M42-M44)/M47)</f>
        <v/>
      </c>
    </row>
    <row r="56" spans="1:13">
      <c r="J56" s="42"/>
    </row>
    <row r="57" spans="1:13" ht="80.25" customHeight="1">
      <c r="A57" s="43" t="s">
        <v>84</v>
      </c>
      <c r="B57" s="44"/>
      <c r="C57" s="44"/>
      <c r="D57" s="44"/>
      <c r="E57" s="44"/>
      <c r="F57" s="44"/>
      <c r="G57" s="44"/>
      <c r="H57" s="44"/>
      <c r="I57" s="44"/>
      <c r="J57" s="44"/>
      <c r="K57" s="44"/>
      <c r="L57" s="44"/>
      <c r="M57" s="44"/>
    </row>
    <row r="58" spans="1:13">
      <c r="A58" s="45"/>
      <c r="B58" s="42"/>
      <c r="C58" s="42"/>
      <c r="D58" s="42"/>
      <c r="E58" s="42"/>
      <c r="F58" s="42"/>
    </row>
    <row r="59" spans="1:13">
      <c r="A59" s="45"/>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FF0000"/>
  </sheetPr>
  <dimension ref="A2:K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ColWidth="9.109375" defaultRowHeight="13.8"/>
  <cols>
    <col min="1" max="1" width="22.6640625" style="14" customWidth="1"/>
    <col min="2" max="11" width="10.6640625" style="14" customWidth="1"/>
    <col min="12" max="16384" width="9.109375" style="14"/>
  </cols>
  <sheetData>
    <row r="2" spans="1:11">
      <c r="A2" s="13" t="s">
        <v>44</v>
      </c>
      <c r="B2" s="14" t="s">
        <v>18</v>
      </c>
    </row>
    <row r="3" spans="1:11" s="16" customFormat="1">
      <c r="A3" s="15" t="s">
        <v>45</v>
      </c>
      <c r="B3" s="16" t="s">
        <v>131</v>
      </c>
    </row>
    <row r="4" spans="1:11">
      <c r="A4" s="13" t="s">
        <v>2</v>
      </c>
      <c r="B4" s="14" t="s">
        <v>4</v>
      </c>
    </row>
    <row r="5" spans="1:11">
      <c r="A5" s="13" t="s">
        <v>46</v>
      </c>
    </row>
    <row r="6" spans="1:11">
      <c r="A6" s="13" t="s">
        <v>47</v>
      </c>
      <c r="B6" s="14">
        <v>3</v>
      </c>
    </row>
    <row r="7" spans="1:11">
      <c r="A7" s="13" t="s">
        <v>48</v>
      </c>
      <c r="B7" s="14" t="e">
        <v>#N/A</v>
      </c>
    </row>
    <row r="8" spans="1:11">
      <c r="A8" s="13" t="s">
        <v>347</v>
      </c>
      <c r="B8" s="14" t="e">
        <v>#N/A</v>
      </c>
    </row>
    <row r="9" spans="1:11">
      <c r="A9" s="17"/>
    </row>
    <row r="10" spans="1:11">
      <c r="A10" s="17" t="s">
        <v>49</v>
      </c>
      <c r="B10" s="18">
        <v>43100</v>
      </c>
      <c r="C10" s="18">
        <v>43008</v>
      </c>
      <c r="D10" s="18">
        <v>42916</v>
      </c>
      <c r="E10" s="18">
        <v>42825</v>
      </c>
      <c r="F10" s="18">
        <v>42735</v>
      </c>
      <c r="G10" s="18">
        <v>42643</v>
      </c>
      <c r="H10" s="18">
        <v>42551</v>
      </c>
      <c r="I10" s="18">
        <v>42460</v>
      </c>
      <c r="J10" s="18">
        <v>42369</v>
      </c>
      <c r="K10" s="18">
        <v>42277</v>
      </c>
    </row>
    <row r="12" spans="1:11">
      <c r="A12" s="19" t="s">
        <v>50</v>
      </c>
      <c r="B12" s="20">
        <v>438.55</v>
      </c>
      <c r="C12" s="20">
        <v>367.67200000000003</v>
      </c>
      <c r="D12" s="20">
        <v>407.88499999999999</v>
      </c>
      <c r="E12" s="20">
        <v>354.976</v>
      </c>
      <c r="F12" s="20">
        <v>415.75</v>
      </c>
      <c r="G12" s="20">
        <v>360.89299999999997</v>
      </c>
      <c r="H12" s="20">
        <v>386.84500000000003</v>
      </c>
      <c r="I12" s="20">
        <v>347.38900000000001</v>
      </c>
      <c r="J12" s="20">
        <v>416.43900000000002</v>
      </c>
      <c r="K12" s="20">
        <v>362.88900000000001</v>
      </c>
    </row>
    <row r="13" spans="1:11" s="21" customFormat="1">
      <c r="A13" s="21" t="s">
        <v>51</v>
      </c>
      <c r="B13" s="21">
        <f t="shared" ref="B13:G13" si="0">+B12/F12-1</f>
        <v>5.4840649428743227E-2</v>
      </c>
      <c r="C13" s="21">
        <f t="shared" si="0"/>
        <v>1.8783960896997298E-2</v>
      </c>
      <c r="D13" s="21">
        <f t="shared" si="0"/>
        <v>5.4388708655921603E-2</v>
      </c>
      <c r="E13" s="21">
        <f t="shared" si="0"/>
        <v>2.1840069777684379E-2</v>
      </c>
      <c r="F13" s="21">
        <f t="shared" si="0"/>
        <v>-1.654504020997094E-3</v>
      </c>
      <c r="G13" s="21">
        <f t="shared" si="0"/>
        <v>-5.5003045008253926E-3</v>
      </c>
    </row>
    <row r="14" spans="1:11" s="24" customFormat="1">
      <c r="A14" s="22" t="s">
        <v>52</v>
      </c>
      <c r="B14" s="23" t="s">
        <v>3</v>
      </c>
      <c r="C14" s="23" t="s">
        <v>3</v>
      </c>
      <c r="D14" s="23" t="s">
        <v>3</v>
      </c>
      <c r="E14" s="23" t="s">
        <v>3</v>
      </c>
      <c r="F14" s="23" t="s">
        <v>3</v>
      </c>
      <c r="G14" s="23" t="s">
        <v>3</v>
      </c>
      <c r="H14" s="22"/>
      <c r="I14" s="22"/>
      <c r="J14" s="22"/>
      <c r="K14" s="22"/>
    </row>
    <row r="16" spans="1:11" s="17" customFormat="1">
      <c r="A16" s="25" t="s">
        <v>53</v>
      </c>
      <c r="B16" s="26">
        <v>52.036999999999999</v>
      </c>
      <c r="C16" s="26">
        <v>39.661000000000001</v>
      </c>
      <c r="D16" s="26">
        <v>48.636000000000003</v>
      </c>
      <c r="E16" s="26">
        <v>32.436999999999998</v>
      </c>
      <c r="F16" s="26">
        <v>47.188000000000002</v>
      </c>
      <c r="G16" s="26">
        <v>38.866</v>
      </c>
      <c r="H16" s="26">
        <v>38.008000000000003</v>
      </c>
      <c r="I16" s="26">
        <v>28.814</v>
      </c>
      <c r="J16" s="26">
        <v>46.936</v>
      </c>
      <c r="K16" s="26">
        <v>32.533000000000001</v>
      </c>
    </row>
    <row r="17" spans="1:11" s="21" customFormat="1">
      <c r="A17" s="21" t="s">
        <v>54</v>
      </c>
      <c r="B17" s="21">
        <f>+B16/B12</f>
        <v>0.11865693763538934</v>
      </c>
      <c r="C17" s="21">
        <f>+C16/C12</f>
        <v>0.10787060205835636</v>
      </c>
      <c r="D17" s="21">
        <f>+D16/D12</f>
        <v>0.11923949152334605</v>
      </c>
      <c r="E17" s="21">
        <f t="shared" ref="E17:K17" si="1">+E16/E12</f>
        <v>9.1378008654106183E-2</v>
      </c>
      <c r="F17" s="21">
        <f t="shared" si="1"/>
        <v>0.1135009019843656</v>
      </c>
      <c r="G17" s="21">
        <f t="shared" si="1"/>
        <v>0.10769397023494499</v>
      </c>
      <c r="H17" s="21">
        <f t="shared" si="1"/>
        <v>9.825123757577324E-2</v>
      </c>
      <c r="I17" s="21">
        <f t="shared" si="1"/>
        <v>8.2944480107314852E-2</v>
      </c>
      <c r="J17" s="21">
        <f t="shared" si="1"/>
        <v>0.11270798364226213</v>
      </c>
      <c r="K17" s="21">
        <f t="shared" si="1"/>
        <v>8.9650003169013115E-2</v>
      </c>
    </row>
    <row r="18" spans="1:11" s="24" customFormat="1"/>
    <row r="19" spans="1:11" s="24" customFormat="1">
      <c r="A19" s="19" t="s">
        <v>55</v>
      </c>
      <c r="B19" s="20">
        <v>0</v>
      </c>
      <c r="C19" s="20">
        <v>0</v>
      </c>
      <c r="D19" s="20">
        <v>0</v>
      </c>
      <c r="E19" s="20">
        <v>0</v>
      </c>
      <c r="F19" s="20">
        <v>0</v>
      </c>
      <c r="G19" s="20">
        <v>0</v>
      </c>
      <c r="H19" s="20">
        <v>0</v>
      </c>
      <c r="I19" s="20">
        <v>0</v>
      </c>
      <c r="J19" s="20">
        <v>0</v>
      </c>
      <c r="K19" s="20">
        <v>0</v>
      </c>
    </row>
    <row r="20" spans="1:11" s="24" customFormat="1">
      <c r="A20" s="19" t="s">
        <v>56</v>
      </c>
      <c r="B20" s="20">
        <v>0</v>
      </c>
      <c r="C20" s="20">
        <v>0</v>
      </c>
      <c r="D20" s="20">
        <v>0</v>
      </c>
      <c r="E20" s="20">
        <v>0</v>
      </c>
      <c r="F20" s="20">
        <v>0</v>
      </c>
      <c r="G20" s="20">
        <v>0</v>
      </c>
      <c r="H20" s="20">
        <v>0</v>
      </c>
      <c r="I20" s="20">
        <v>0</v>
      </c>
      <c r="J20" s="20">
        <v>0</v>
      </c>
      <c r="K20" s="20">
        <v>0</v>
      </c>
    </row>
    <row r="21" spans="1:11" s="24" customFormat="1">
      <c r="A21" s="19" t="s">
        <v>57</v>
      </c>
      <c r="B21" s="20">
        <v>0</v>
      </c>
      <c r="C21" s="20">
        <v>0</v>
      </c>
      <c r="D21" s="20">
        <v>0</v>
      </c>
      <c r="E21" s="20">
        <v>0</v>
      </c>
      <c r="F21" s="20">
        <v>0</v>
      </c>
      <c r="G21" s="20">
        <v>0</v>
      </c>
      <c r="H21" s="20">
        <v>0</v>
      </c>
      <c r="I21" s="20">
        <v>0</v>
      </c>
      <c r="J21" s="20">
        <v>0</v>
      </c>
      <c r="K21" s="20">
        <v>0</v>
      </c>
    </row>
    <row r="22" spans="1:11" s="17" customFormat="1">
      <c r="A22" s="17" t="s">
        <v>58</v>
      </c>
      <c r="B22" s="27">
        <f>SUM(B16,B19:B21)</f>
        <v>52.036999999999999</v>
      </c>
      <c r="C22" s="27">
        <f>SUM(C16,C19:C21)</f>
        <v>39.661000000000001</v>
      </c>
      <c r="D22" s="27">
        <f>SUM(D16,D19:D21)</f>
        <v>48.636000000000003</v>
      </c>
      <c r="E22" s="27">
        <f t="shared" ref="E22:K22" si="2">SUM(E16,E19:E21)</f>
        <v>32.436999999999998</v>
      </c>
      <c r="F22" s="27">
        <f t="shared" si="2"/>
        <v>47.188000000000002</v>
      </c>
      <c r="G22" s="27">
        <f t="shared" si="2"/>
        <v>38.866</v>
      </c>
      <c r="H22" s="27">
        <f t="shared" si="2"/>
        <v>38.008000000000003</v>
      </c>
      <c r="I22" s="27">
        <f t="shared" si="2"/>
        <v>28.814</v>
      </c>
      <c r="J22" s="27">
        <f t="shared" si="2"/>
        <v>46.936</v>
      </c>
      <c r="K22" s="27">
        <f t="shared" si="2"/>
        <v>32.533000000000001</v>
      </c>
    </row>
    <row r="23" spans="1:11" s="17" customFormat="1">
      <c r="B23" s="27"/>
      <c r="C23" s="27"/>
      <c r="D23" s="27"/>
      <c r="E23" s="27"/>
      <c r="F23" s="27"/>
      <c r="G23" s="27"/>
      <c r="H23" s="27"/>
      <c r="I23" s="27"/>
      <c r="J23" s="27"/>
      <c r="K23" s="27"/>
    </row>
    <row r="24" spans="1:11" s="17" customFormat="1">
      <c r="A24" s="17" t="s">
        <v>59</v>
      </c>
      <c r="B24" s="27">
        <f t="shared" ref="B24:H24" si="3">SUM(B22:E22)</f>
        <v>172.77100000000002</v>
      </c>
      <c r="C24" s="27">
        <f t="shared" si="3"/>
        <v>167.922</v>
      </c>
      <c r="D24" s="27">
        <f t="shared" si="3"/>
        <v>167.12700000000001</v>
      </c>
      <c r="E24" s="27">
        <f t="shared" si="3"/>
        <v>156.499</v>
      </c>
      <c r="F24" s="27">
        <f t="shared" si="3"/>
        <v>152.876</v>
      </c>
      <c r="G24" s="27">
        <f t="shared" si="3"/>
        <v>152.624</v>
      </c>
      <c r="H24" s="27">
        <f t="shared" si="3"/>
        <v>146.291</v>
      </c>
      <c r="I24" s="27"/>
      <c r="J24" s="27"/>
      <c r="K24" s="27"/>
    </row>
    <row r="25" spans="1:11" s="24" customFormat="1">
      <c r="A25" s="19" t="s">
        <v>60</v>
      </c>
      <c r="B25" s="28">
        <v>0</v>
      </c>
      <c r="C25" s="28">
        <v>0</v>
      </c>
      <c r="D25" s="28">
        <v>0</v>
      </c>
      <c r="E25" s="28">
        <v>0</v>
      </c>
      <c r="F25" s="28">
        <v>0</v>
      </c>
      <c r="G25" s="28">
        <v>0</v>
      </c>
      <c r="H25" s="28">
        <v>0</v>
      </c>
      <c r="I25" s="28"/>
      <c r="J25" s="28"/>
      <c r="K25" s="28"/>
    </row>
    <row r="26" spans="1:11" s="24" customFormat="1">
      <c r="A26" s="19" t="s">
        <v>61</v>
      </c>
      <c r="B26" s="29">
        <v>0</v>
      </c>
      <c r="C26" s="29">
        <v>0</v>
      </c>
      <c r="D26" s="29">
        <v>0</v>
      </c>
      <c r="E26" s="29">
        <v>0</v>
      </c>
      <c r="F26" s="29">
        <v>0</v>
      </c>
      <c r="G26" s="29">
        <v>0</v>
      </c>
      <c r="H26" s="29">
        <v>0</v>
      </c>
      <c r="I26" s="30"/>
      <c r="J26" s="30"/>
      <c r="K26" s="30"/>
    </row>
    <row r="27" spans="1:11" s="32" customFormat="1">
      <c r="A27" s="17" t="s">
        <v>62</v>
      </c>
      <c r="B27" s="27">
        <f t="shared" ref="B27:H27" si="4">SUM(B24:B26)</f>
        <v>172.77100000000002</v>
      </c>
      <c r="C27" s="27">
        <f t="shared" si="4"/>
        <v>167.922</v>
      </c>
      <c r="D27" s="27">
        <f t="shared" si="4"/>
        <v>167.12700000000001</v>
      </c>
      <c r="E27" s="27">
        <f t="shared" si="4"/>
        <v>156.499</v>
      </c>
      <c r="F27" s="27">
        <f t="shared" si="4"/>
        <v>152.876</v>
      </c>
      <c r="G27" s="27">
        <f t="shared" si="4"/>
        <v>152.624</v>
      </c>
      <c r="H27" s="27">
        <f t="shared" si="4"/>
        <v>146.291</v>
      </c>
      <c r="I27" s="31"/>
      <c r="J27" s="31"/>
      <c r="K27" s="31"/>
    </row>
    <row r="28" spans="1:11" s="24" customFormat="1"/>
    <row r="29" spans="1:11" s="17" customFormat="1">
      <c r="A29" s="17" t="s">
        <v>58</v>
      </c>
      <c r="B29" s="27">
        <f>B22</f>
        <v>52.036999999999999</v>
      </c>
      <c r="C29" s="27">
        <f t="shared" ref="C29:K29" si="5">C22</f>
        <v>39.661000000000001</v>
      </c>
      <c r="D29" s="27">
        <f t="shared" si="5"/>
        <v>48.636000000000003</v>
      </c>
      <c r="E29" s="27">
        <f t="shared" si="5"/>
        <v>32.436999999999998</v>
      </c>
      <c r="F29" s="27">
        <f t="shared" si="5"/>
        <v>47.188000000000002</v>
      </c>
      <c r="G29" s="27">
        <f t="shared" si="5"/>
        <v>38.866</v>
      </c>
      <c r="H29" s="27">
        <f t="shared" si="5"/>
        <v>38.008000000000003</v>
      </c>
      <c r="I29" s="27">
        <f t="shared" si="5"/>
        <v>28.814</v>
      </c>
      <c r="J29" s="27">
        <f t="shared" si="5"/>
        <v>46.936</v>
      </c>
      <c r="K29" s="27">
        <f t="shared" si="5"/>
        <v>32.533000000000001</v>
      </c>
    </row>
    <row r="30" spans="1:11" s="33" customFormat="1">
      <c r="A30" s="20" t="s">
        <v>63</v>
      </c>
      <c r="B30" s="20">
        <f>-37.713-E30-D30-C30</f>
        <v>-8.8030000000000008</v>
      </c>
      <c r="C30" s="20">
        <v>-10.41</v>
      </c>
      <c r="D30" s="20">
        <v>-9.6</v>
      </c>
      <c r="E30" s="20">
        <v>-8.9</v>
      </c>
      <c r="F30" s="20">
        <v>-8.6819999999999986</v>
      </c>
      <c r="G30" s="20">
        <v>-9.6999999999999993</v>
      </c>
      <c r="H30" s="20">
        <v>-8.5000000000000018</v>
      </c>
      <c r="I30" s="20">
        <v>-9.6</v>
      </c>
      <c r="J30" s="20">
        <f>-34.895+28.564</f>
        <v>-6.3310000000000031</v>
      </c>
      <c r="K30" s="20">
        <v>-9.673</v>
      </c>
    </row>
    <row r="31" spans="1:11" s="33" customFormat="1">
      <c r="A31" s="20" t="s">
        <v>64</v>
      </c>
      <c r="B31" s="20">
        <f>-0.538-E31-D31-C31</f>
        <v>13.719999999999999</v>
      </c>
      <c r="C31" s="20">
        <v>-5.8000000000000003E-2</v>
      </c>
      <c r="D31" s="20">
        <v>-14.2</v>
      </c>
      <c r="E31" s="20">
        <v>0</v>
      </c>
      <c r="F31" s="20">
        <v>32.140999999999998</v>
      </c>
      <c r="G31" s="20">
        <v>-8.7999999999999972</v>
      </c>
      <c r="H31" s="20">
        <v>-19</v>
      </c>
      <c r="I31" s="20">
        <v>-4.5999999999999996</v>
      </c>
      <c r="J31" s="20">
        <f>-0.721+0.761</f>
        <v>4.0000000000000036E-2</v>
      </c>
      <c r="K31" s="20">
        <v>-0.317</v>
      </c>
    </row>
    <row r="32" spans="1:11" s="33" customFormat="1">
      <c r="A32" s="20" t="s">
        <v>65</v>
      </c>
      <c r="B32" s="20">
        <v>52.047999999999988</v>
      </c>
      <c r="C32" s="20">
        <f>-5.043-37.833+18.187+4.104-E32-D32</f>
        <v>-26.701000000000001</v>
      </c>
      <c r="D32" s="20">
        <v>13.707000000000004</v>
      </c>
      <c r="E32" s="20">
        <v>-7.591000000000002</v>
      </c>
      <c r="F32" s="20">
        <v>1.1179999999999986</v>
      </c>
      <c r="G32" s="20">
        <v>-7.2899999999999991</v>
      </c>
      <c r="H32" s="20">
        <v>6.6890000000000009</v>
      </c>
      <c r="I32" s="20">
        <v>-6.7940000000000023</v>
      </c>
      <c r="J32" s="20">
        <f>-14.903-62.659+1.882+39.436-4.855-(-26.616-64.552+2.001+71.175-6.22)</f>
        <v>-16.886999999999986</v>
      </c>
      <c r="K32" s="20">
        <v>-29.637999999999998</v>
      </c>
    </row>
    <row r="33" spans="1:11" s="33" customFormat="1">
      <c r="A33" s="20" t="s">
        <v>66</v>
      </c>
      <c r="B33" s="20">
        <v>0</v>
      </c>
      <c r="C33" s="20">
        <v>0</v>
      </c>
      <c r="D33" s="20">
        <v>0</v>
      </c>
      <c r="E33" s="20">
        <v>0</v>
      </c>
      <c r="F33" s="20">
        <v>0</v>
      </c>
      <c r="G33" s="20">
        <v>0</v>
      </c>
      <c r="H33" s="20">
        <v>0</v>
      </c>
      <c r="I33" s="20">
        <v>0</v>
      </c>
      <c r="J33" s="20">
        <v>0</v>
      </c>
      <c r="K33" s="20">
        <v>0</v>
      </c>
    </row>
    <row r="34" spans="1:11" s="33" customFormat="1">
      <c r="A34" s="20" t="s">
        <v>57</v>
      </c>
      <c r="B34" s="29">
        <v>0</v>
      </c>
      <c r="C34" s="29">
        <v>0</v>
      </c>
      <c r="D34" s="29">
        <v>0</v>
      </c>
      <c r="E34" s="29">
        <v>0</v>
      </c>
      <c r="F34" s="29">
        <v>0</v>
      </c>
      <c r="G34" s="29">
        <v>0</v>
      </c>
      <c r="H34" s="29">
        <v>0</v>
      </c>
      <c r="I34" s="29">
        <v>0</v>
      </c>
      <c r="J34" s="29">
        <v>0</v>
      </c>
      <c r="K34" s="29">
        <v>0</v>
      </c>
    </row>
    <row r="35" spans="1:11" s="27" customFormat="1">
      <c r="A35" s="27" t="s">
        <v>67</v>
      </c>
      <c r="B35" s="27">
        <v>83.370999999999995</v>
      </c>
      <c r="C35" s="27">
        <f>64.641-E35-D35</f>
        <v>0.32100000000001216</v>
      </c>
      <c r="D35" s="27">
        <v>49.812999999999995</v>
      </c>
      <c r="E35" s="27">
        <v>14.507</v>
      </c>
      <c r="F35" s="27">
        <v>11.320999999999998</v>
      </c>
      <c r="G35" s="27">
        <v>23.595999999999997</v>
      </c>
      <c r="H35" s="27">
        <v>33.359000000000002</v>
      </c>
      <c r="I35" s="27">
        <v>11.321</v>
      </c>
      <c r="J35" s="27">
        <f>56.839-37.655</f>
        <v>19.183999999999997</v>
      </c>
      <c r="K35" s="27">
        <v>-0.29899999999999949</v>
      </c>
    </row>
    <row r="36" spans="1:11" s="33" customFormat="1">
      <c r="A36" s="20" t="s">
        <v>68</v>
      </c>
      <c r="B36" s="29">
        <v>-7.2460000000000022</v>
      </c>
      <c r="C36" s="29">
        <f>-19.921-E36-D36</f>
        <v>-6.5220000000000002</v>
      </c>
      <c r="D36" s="29">
        <v>-4.4609999999999985</v>
      </c>
      <c r="E36" s="29">
        <v>-8.9380000000000006</v>
      </c>
      <c r="F36" s="29">
        <v>-7.3909999999999982</v>
      </c>
      <c r="G36" s="29">
        <v>-3.9700000000000006</v>
      </c>
      <c r="H36" s="29">
        <v>-4.5949999999999998</v>
      </c>
      <c r="I36" s="29">
        <v>-5.2320000000000002</v>
      </c>
      <c r="J36" s="29">
        <f>-19.298+14.145</f>
        <v>-5.1529999999999987</v>
      </c>
      <c r="K36" s="29">
        <v>-4.0839999999999996</v>
      </c>
    </row>
    <row r="37" spans="1:11" s="27" customFormat="1">
      <c r="A37" s="27" t="s">
        <v>69</v>
      </c>
      <c r="B37" s="27">
        <f>+B35+B36</f>
        <v>76.125</v>
      </c>
      <c r="C37" s="27">
        <f>+C35+C36</f>
        <v>-6.2009999999999881</v>
      </c>
      <c r="D37" s="27">
        <f>+D35+D36</f>
        <v>45.351999999999997</v>
      </c>
      <c r="E37" s="27">
        <f t="shared" ref="E37:K37" si="6">+E35+E36</f>
        <v>5.5689999999999991</v>
      </c>
      <c r="F37" s="27">
        <f t="shared" si="6"/>
        <v>3.9299999999999997</v>
      </c>
      <c r="G37" s="27">
        <f t="shared" si="6"/>
        <v>19.625999999999998</v>
      </c>
      <c r="H37" s="27">
        <f t="shared" si="6"/>
        <v>28.764000000000003</v>
      </c>
      <c r="I37" s="27">
        <f t="shared" si="6"/>
        <v>6.0889999999999995</v>
      </c>
      <c r="J37" s="27">
        <f t="shared" si="6"/>
        <v>14.030999999999999</v>
      </c>
      <c r="K37" s="27">
        <f t="shared" si="6"/>
        <v>-4.3829999999999991</v>
      </c>
    </row>
    <row r="39" spans="1:11" s="35" customFormat="1">
      <c r="A39" s="34" t="s">
        <v>70</v>
      </c>
      <c r="B39" s="20">
        <v>0</v>
      </c>
      <c r="C39" s="20">
        <v>0</v>
      </c>
      <c r="D39" s="20">
        <v>0</v>
      </c>
      <c r="E39" s="20">
        <v>0</v>
      </c>
      <c r="F39" s="20">
        <v>0</v>
      </c>
      <c r="G39" s="20">
        <v>0</v>
      </c>
      <c r="H39" s="20">
        <v>0</v>
      </c>
      <c r="I39" s="20"/>
      <c r="J39" s="20"/>
      <c r="K39" s="20"/>
    </row>
    <row r="40" spans="1:11" s="35" customFormat="1">
      <c r="A40" s="34" t="s">
        <v>71</v>
      </c>
      <c r="B40" s="20">
        <v>688.61500000000001</v>
      </c>
      <c r="C40" s="20">
        <v>640.45500000000004</v>
      </c>
      <c r="D40" s="20">
        <v>639.40499999999997</v>
      </c>
      <c r="E40" s="20">
        <v>641.01599999999996</v>
      </c>
      <c r="F40" s="20">
        <v>642.62699999999995</v>
      </c>
      <c r="G40" s="20">
        <v>604.23800000000006</v>
      </c>
      <c r="H40" s="20">
        <v>605.77499999999998</v>
      </c>
      <c r="I40" s="20"/>
      <c r="J40" s="20"/>
      <c r="K40" s="20"/>
    </row>
    <row r="41" spans="1:11" s="35" customFormat="1">
      <c r="A41" s="34" t="s">
        <v>72</v>
      </c>
      <c r="B41" s="20">
        <f t="shared" ref="B41:H41" si="7">B39+B40</f>
        <v>688.61500000000001</v>
      </c>
      <c r="C41" s="20">
        <f t="shared" si="7"/>
        <v>640.45500000000004</v>
      </c>
      <c r="D41" s="20">
        <f t="shared" si="7"/>
        <v>639.40499999999997</v>
      </c>
      <c r="E41" s="20">
        <f t="shared" si="7"/>
        <v>641.01599999999996</v>
      </c>
      <c r="F41" s="20">
        <f t="shared" si="7"/>
        <v>642.62699999999995</v>
      </c>
      <c r="G41" s="20">
        <f t="shared" si="7"/>
        <v>604.23800000000006</v>
      </c>
      <c r="H41" s="20">
        <f t="shared" si="7"/>
        <v>605.77499999999998</v>
      </c>
      <c r="I41" s="20"/>
      <c r="J41" s="20"/>
      <c r="K41" s="20"/>
    </row>
    <row r="42" spans="1:11" s="35" customFormat="1">
      <c r="A42" s="34" t="s">
        <v>73</v>
      </c>
      <c r="B42" s="36">
        <v>0</v>
      </c>
      <c r="C42" s="36">
        <v>0</v>
      </c>
      <c r="D42" s="36">
        <v>0</v>
      </c>
      <c r="E42" s="36">
        <v>0</v>
      </c>
      <c r="F42" s="36">
        <v>0</v>
      </c>
      <c r="G42" s="36">
        <v>0</v>
      </c>
      <c r="H42" s="36">
        <v>0</v>
      </c>
      <c r="I42" s="36"/>
      <c r="J42" s="36"/>
      <c r="K42" s="36"/>
    </row>
    <row r="43" spans="1:11">
      <c r="B43" s="35"/>
      <c r="C43" s="35"/>
      <c r="D43" s="35"/>
      <c r="E43" s="35"/>
      <c r="F43" s="35"/>
    </row>
    <row r="44" spans="1:11">
      <c r="A44" s="19" t="s">
        <v>74</v>
      </c>
      <c r="B44" s="28">
        <v>61.35</v>
      </c>
      <c r="C44" s="28">
        <v>51.018000000000001</v>
      </c>
      <c r="D44" s="28">
        <v>67.876000000000005</v>
      </c>
      <c r="E44" s="28">
        <v>39.843000000000004</v>
      </c>
      <c r="F44" s="28">
        <v>17.234000000000002</v>
      </c>
      <c r="G44" s="28">
        <v>17.234000000000002</v>
      </c>
      <c r="H44" s="28">
        <v>9.6</v>
      </c>
      <c r="I44" s="28"/>
      <c r="J44" s="28"/>
      <c r="K44" s="28"/>
    </row>
    <row r="46" spans="1:11">
      <c r="A46" s="14" t="s">
        <v>75</v>
      </c>
      <c r="B46" s="33">
        <f t="shared" ref="B46:H46" si="8">SUM(B12:E12)</f>
        <v>1569.0830000000001</v>
      </c>
      <c r="C46" s="33">
        <f t="shared" si="8"/>
        <v>1546.2829999999999</v>
      </c>
      <c r="D46" s="33">
        <f t="shared" si="8"/>
        <v>1539.5039999999999</v>
      </c>
      <c r="E46" s="33">
        <f t="shared" si="8"/>
        <v>1518.4639999999999</v>
      </c>
      <c r="F46" s="33">
        <f t="shared" si="8"/>
        <v>1510.877</v>
      </c>
      <c r="G46" s="33">
        <f t="shared" si="8"/>
        <v>1511.566</v>
      </c>
      <c r="H46" s="33">
        <f t="shared" si="8"/>
        <v>1513.5619999999999</v>
      </c>
    </row>
    <row r="47" spans="1:11">
      <c r="A47" s="14" t="s">
        <v>76</v>
      </c>
      <c r="B47" s="33">
        <f>+B27</f>
        <v>172.77100000000002</v>
      </c>
      <c r="C47" s="33">
        <f t="shared" ref="C47:H47" si="9">+C27</f>
        <v>167.922</v>
      </c>
      <c r="D47" s="33">
        <f t="shared" si="9"/>
        <v>167.12700000000001</v>
      </c>
      <c r="E47" s="33">
        <f t="shared" si="9"/>
        <v>156.499</v>
      </c>
      <c r="F47" s="33">
        <f t="shared" si="9"/>
        <v>152.876</v>
      </c>
      <c r="G47" s="33">
        <f t="shared" si="9"/>
        <v>152.624</v>
      </c>
      <c r="H47" s="33">
        <f t="shared" si="9"/>
        <v>146.291</v>
      </c>
    </row>
    <row r="48" spans="1:11">
      <c r="A48" s="14" t="s">
        <v>77</v>
      </c>
      <c r="B48" s="33">
        <f t="shared" ref="B48:H48" si="10">+SUM(B37:E37)</f>
        <v>120.84500000000001</v>
      </c>
      <c r="C48" s="33">
        <f t="shared" si="10"/>
        <v>48.650000000000013</v>
      </c>
      <c r="D48" s="33">
        <f t="shared" si="10"/>
        <v>74.47699999999999</v>
      </c>
      <c r="E48" s="33">
        <f t="shared" si="10"/>
        <v>57.888999999999996</v>
      </c>
      <c r="F48" s="33">
        <f t="shared" si="10"/>
        <v>58.408999999999999</v>
      </c>
      <c r="G48" s="33">
        <f t="shared" si="10"/>
        <v>68.509999999999991</v>
      </c>
      <c r="H48" s="33">
        <f t="shared" si="10"/>
        <v>44.501000000000005</v>
      </c>
    </row>
    <row r="50" spans="1:11" s="37" customFormat="1">
      <c r="A50" s="37" t="s">
        <v>78</v>
      </c>
      <c r="B50" s="37">
        <f t="shared" ref="B50:H50" si="11">+SUM(B39:B40)/B47</f>
        <v>3.985709407250059</v>
      </c>
      <c r="C50" s="37">
        <f t="shared" si="11"/>
        <v>3.8140029299317542</v>
      </c>
      <c r="D50" s="37">
        <f t="shared" si="11"/>
        <v>3.8258629664865635</v>
      </c>
      <c r="E50" s="37">
        <f t="shared" si="11"/>
        <v>4.0959750541537003</v>
      </c>
      <c r="F50" s="37">
        <f t="shared" si="11"/>
        <v>4.2035832962662543</v>
      </c>
      <c r="G50" s="37">
        <f t="shared" si="11"/>
        <v>3.9589972743474164</v>
      </c>
      <c r="H50" s="37">
        <f t="shared" si="11"/>
        <v>4.1408904170454779</v>
      </c>
    </row>
    <row r="51" spans="1:11" s="37" customFormat="1">
      <c r="A51" s="37" t="s">
        <v>79</v>
      </c>
      <c r="B51" s="37">
        <f t="shared" ref="B51:H51" si="12">+B41/B47</f>
        <v>3.985709407250059</v>
      </c>
      <c r="C51" s="37">
        <f t="shared" si="12"/>
        <v>3.8140029299317542</v>
      </c>
      <c r="D51" s="37">
        <f t="shared" si="12"/>
        <v>3.8258629664865635</v>
      </c>
      <c r="E51" s="37">
        <f t="shared" si="12"/>
        <v>4.0959750541537003</v>
      </c>
      <c r="F51" s="37">
        <f t="shared" si="12"/>
        <v>4.2035832962662543</v>
      </c>
      <c r="G51" s="37">
        <f t="shared" si="12"/>
        <v>3.9589972743474164</v>
      </c>
      <c r="H51" s="37">
        <f t="shared" si="12"/>
        <v>4.1408904170454779</v>
      </c>
    </row>
    <row r="52" spans="1:11" s="37" customFormat="1">
      <c r="A52" s="37" t="s">
        <v>80</v>
      </c>
      <c r="B52" s="37">
        <f t="shared" ref="B52:H52" si="13">+(B41-B44)/B47</f>
        <v>3.6306150916531128</v>
      </c>
      <c r="C52" s="37">
        <f t="shared" si="13"/>
        <v>3.5101832993890021</v>
      </c>
      <c r="D52" s="37">
        <f t="shared" si="13"/>
        <v>3.4197287093048998</v>
      </c>
      <c r="E52" s="37">
        <f t="shared" si="13"/>
        <v>3.8413855679589006</v>
      </c>
      <c r="F52" s="37">
        <f t="shared" si="13"/>
        <v>4.0908514089850589</v>
      </c>
      <c r="G52" s="37">
        <f t="shared" si="13"/>
        <v>3.8460792535905233</v>
      </c>
      <c r="H52" s="37">
        <f t="shared" si="13"/>
        <v>4.0752677881756227</v>
      </c>
    </row>
    <row r="53" spans="1:11" s="38" customFormat="1">
      <c r="A53" s="38" t="s">
        <v>81</v>
      </c>
      <c r="B53" s="38">
        <f>+B48/B41</f>
        <v>0.17548993269098118</v>
      </c>
      <c r="C53" s="38">
        <f t="shared" ref="C53:H53" si="14">+C48/C41</f>
        <v>7.5961621035045418E-2</v>
      </c>
      <c r="D53" s="38">
        <f t="shared" si="14"/>
        <v>0.11647860119955269</v>
      </c>
      <c r="E53" s="38">
        <f t="shared" si="14"/>
        <v>9.0308198235301451E-2</v>
      </c>
      <c r="F53" s="38">
        <f t="shared" si="14"/>
        <v>9.0890983416507559E-2</v>
      </c>
      <c r="G53" s="38">
        <f t="shared" si="14"/>
        <v>0.1133824751174206</v>
      </c>
      <c r="H53" s="38">
        <f t="shared" si="14"/>
        <v>7.3461268622838527E-2</v>
      </c>
    </row>
    <row r="54" spans="1:11" s="38" customFormat="1">
      <c r="A54" s="39" t="s">
        <v>82</v>
      </c>
      <c r="B54" s="40">
        <v>11.6</v>
      </c>
      <c r="C54" s="40">
        <v>11.6</v>
      </c>
      <c r="D54" s="40">
        <v>11.6</v>
      </c>
      <c r="E54" s="40">
        <v>11.6</v>
      </c>
      <c r="F54" s="40">
        <v>11.6</v>
      </c>
      <c r="G54" s="40">
        <v>11.6</v>
      </c>
      <c r="H54" s="40">
        <v>11.6</v>
      </c>
      <c r="I54" s="39"/>
      <c r="J54" s="39"/>
      <c r="K54" s="39"/>
    </row>
    <row r="55" spans="1:11" s="38" customFormat="1">
      <c r="A55" s="38" t="s">
        <v>83</v>
      </c>
      <c r="B55" s="41" t="str">
        <f>IF(B42=0,IF(B54="","","*"&amp;TEXT(B54,"0.0x")),(B41+B42-B44)/B47)</f>
        <v>*11.6x</v>
      </c>
      <c r="C55" s="41" t="str">
        <f t="shared" ref="C55:H55" si="15">IF(C42=0,IF(C54="","","*"&amp;TEXT(C54,"0.0x")),(C41+C42-C44)/C47)</f>
        <v>*11.6x</v>
      </c>
      <c r="D55" s="41" t="str">
        <f t="shared" si="15"/>
        <v>*11.6x</v>
      </c>
      <c r="E55" s="41" t="str">
        <f t="shared" si="15"/>
        <v>*11.6x</v>
      </c>
      <c r="F55" s="41" t="str">
        <f t="shared" si="15"/>
        <v>*11.6x</v>
      </c>
      <c r="G55" s="41" t="str">
        <f t="shared" si="15"/>
        <v>*11.6x</v>
      </c>
      <c r="H55" s="41" t="str">
        <f t="shared" si="15"/>
        <v>*11.6x</v>
      </c>
      <c r="I55" s="41" t="str">
        <f>IF(I42=0,IF(I54="","",CONCATENATE("* ",I54,"x")),(I41+I42-I44)/I47)</f>
        <v/>
      </c>
      <c r="J55" s="41" t="str">
        <f>IF(J42=0,IF(J54="","",CONCATENATE("* ",J54,"x")),(J41+J42-J44)/J47)</f>
        <v/>
      </c>
      <c r="K55" s="41" t="str">
        <f>IF(K42=0,IF(K54="","",CONCATENATE("* ",K54,"x")),(K41+K42-K44)/K47)</f>
        <v/>
      </c>
    </row>
    <row r="56" spans="1:11">
      <c r="H56" s="42"/>
    </row>
    <row r="57" spans="1:11" ht="80.25" customHeight="1">
      <c r="A57" s="43" t="s">
        <v>84</v>
      </c>
      <c r="B57" s="44" t="s">
        <v>90</v>
      </c>
      <c r="C57" s="44" t="s">
        <v>90</v>
      </c>
      <c r="D57" s="44" t="s">
        <v>90</v>
      </c>
      <c r="E57" s="44"/>
      <c r="F57" s="44"/>
      <c r="G57" s="44"/>
      <c r="H57" s="44"/>
      <c r="I57" s="44"/>
      <c r="J57" s="44"/>
      <c r="K57" s="44"/>
    </row>
    <row r="58" spans="1:11">
      <c r="A58" s="45"/>
      <c r="B58" s="42"/>
      <c r="C58" s="42"/>
      <c r="D58" s="42"/>
    </row>
    <row r="59" spans="1:11">
      <c r="A59" s="45"/>
    </row>
  </sheetData>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FF0000"/>
  </sheetPr>
  <dimension ref="A2:K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ColWidth="9.109375" defaultRowHeight="13.8"/>
  <cols>
    <col min="1" max="1" width="22.6640625" style="14" customWidth="1"/>
    <col min="2" max="11" width="10.6640625" style="14" customWidth="1"/>
    <col min="12" max="16384" width="9.109375" style="14"/>
  </cols>
  <sheetData>
    <row r="2" spans="1:11">
      <c r="A2" s="13" t="s">
        <v>44</v>
      </c>
      <c r="B2" s="14" t="s">
        <v>152</v>
      </c>
    </row>
    <row r="3" spans="1:11" s="16" customFormat="1">
      <c r="A3" s="15" t="s">
        <v>45</v>
      </c>
      <c r="B3" s="16" t="s">
        <v>132</v>
      </c>
    </row>
    <row r="4" spans="1:11">
      <c r="A4" s="13" t="s">
        <v>2</v>
      </c>
      <c r="B4" s="14" t="s">
        <v>4</v>
      </c>
    </row>
    <row r="5" spans="1:11">
      <c r="A5" s="13" t="s">
        <v>46</v>
      </c>
    </row>
    <row r="6" spans="1:11">
      <c r="A6" s="13" t="s">
        <v>47</v>
      </c>
      <c r="B6" s="14">
        <v>8</v>
      </c>
    </row>
    <row r="7" spans="1:11">
      <c r="A7" s="13" t="s">
        <v>48</v>
      </c>
      <c r="B7" s="14" t="e">
        <v>#N/A</v>
      </c>
    </row>
    <row r="8" spans="1:11">
      <c r="A8" s="13" t="s">
        <v>347</v>
      </c>
      <c r="B8" s="14" t="e">
        <v>#N/A</v>
      </c>
    </row>
    <row r="9" spans="1:11">
      <c r="A9" s="17"/>
    </row>
    <row r="10" spans="1:11">
      <c r="A10" s="17" t="s">
        <v>49</v>
      </c>
      <c r="B10" s="18">
        <v>43100</v>
      </c>
      <c r="C10" s="18">
        <v>43008</v>
      </c>
      <c r="D10" s="18">
        <v>42916</v>
      </c>
      <c r="E10" s="18">
        <v>42825</v>
      </c>
      <c r="F10" s="18">
        <v>42735</v>
      </c>
      <c r="G10" s="18">
        <v>42643</v>
      </c>
      <c r="H10" s="18">
        <v>42551</v>
      </c>
      <c r="I10" s="18">
        <v>42460</v>
      </c>
      <c r="J10" s="18">
        <v>42369</v>
      </c>
      <c r="K10" s="18">
        <v>42277</v>
      </c>
    </row>
    <row r="12" spans="1:11">
      <c r="A12" s="19" t="s">
        <v>50</v>
      </c>
      <c r="B12" s="20">
        <v>0</v>
      </c>
      <c r="C12" s="20">
        <v>0</v>
      </c>
      <c r="D12" s="20">
        <v>0</v>
      </c>
      <c r="E12" s="20">
        <v>0</v>
      </c>
      <c r="F12" s="20">
        <v>0</v>
      </c>
      <c r="G12" s="20">
        <v>0</v>
      </c>
      <c r="H12" s="20">
        <v>0</v>
      </c>
      <c r="I12" s="20">
        <v>0</v>
      </c>
      <c r="J12" s="20">
        <v>0</v>
      </c>
      <c r="K12" s="20">
        <v>0</v>
      </c>
    </row>
    <row r="13" spans="1:11" s="21" customFormat="1">
      <c r="A13" s="21" t="s">
        <v>51</v>
      </c>
      <c r="B13" s="21" t="e">
        <f t="shared" ref="B13:G13" si="0">+B12/F12-1</f>
        <v>#DIV/0!</v>
      </c>
      <c r="C13" s="21" t="e">
        <f t="shared" si="0"/>
        <v>#DIV/0!</v>
      </c>
      <c r="D13" s="21" t="e">
        <f t="shared" si="0"/>
        <v>#DIV/0!</v>
      </c>
      <c r="E13" s="21" t="e">
        <f t="shared" si="0"/>
        <v>#DIV/0!</v>
      </c>
      <c r="F13" s="21" t="e">
        <f t="shared" si="0"/>
        <v>#DIV/0!</v>
      </c>
      <c r="G13" s="21" t="e">
        <f t="shared" si="0"/>
        <v>#DIV/0!</v>
      </c>
    </row>
    <row r="14" spans="1:11" s="24" customFormat="1">
      <c r="A14" s="22" t="s">
        <v>52</v>
      </c>
      <c r="B14" s="23" t="s">
        <v>3</v>
      </c>
      <c r="C14" s="23" t="s">
        <v>3</v>
      </c>
      <c r="D14" s="23" t="s">
        <v>3</v>
      </c>
      <c r="E14" s="23" t="s">
        <v>3</v>
      </c>
      <c r="F14" s="23" t="s">
        <v>3</v>
      </c>
      <c r="G14" s="23" t="s">
        <v>3</v>
      </c>
      <c r="H14" s="22"/>
      <c r="I14" s="22"/>
      <c r="J14" s="22"/>
      <c r="K14" s="22"/>
    </row>
    <row r="16" spans="1:11" s="17" customFormat="1">
      <c r="A16" s="25" t="s">
        <v>53</v>
      </c>
      <c r="B16" s="26">
        <v>0</v>
      </c>
      <c r="C16" s="26">
        <v>0</v>
      </c>
      <c r="D16" s="26">
        <v>0</v>
      </c>
      <c r="E16" s="26">
        <v>0</v>
      </c>
      <c r="F16" s="26">
        <v>0</v>
      </c>
      <c r="G16" s="26">
        <v>0</v>
      </c>
      <c r="H16" s="26">
        <v>0</v>
      </c>
      <c r="I16" s="26">
        <v>0</v>
      </c>
      <c r="J16" s="26">
        <v>0</v>
      </c>
      <c r="K16" s="26">
        <v>0</v>
      </c>
    </row>
    <row r="17" spans="1:11" s="21" customFormat="1">
      <c r="A17" s="21" t="s">
        <v>54</v>
      </c>
      <c r="B17" s="21" t="e">
        <f>+B16/B12</f>
        <v>#DIV/0!</v>
      </c>
      <c r="C17" s="21" t="e">
        <f>+C16/C12</f>
        <v>#DIV/0!</v>
      </c>
      <c r="D17" s="21" t="e">
        <f>+D16/D12</f>
        <v>#DIV/0!</v>
      </c>
      <c r="E17" s="21" t="e">
        <f t="shared" ref="E17:K17" si="1">+E16/E12</f>
        <v>#DIV/0!</v>
      </c>
      <c r="F17" s="21" t="e">
        <f t="shared" si="1"/>
        <v>#DIV/0!</v>
      </c>
      <c r="G17" s="21" t="e">
        <f t="shared" si="1"/>
        <v>#DIV/0!</v>
      </c>
      <c r="H17" s="21" t="e">
        <f t="shared" si="1"/>
        <v>#DIV/0!</v>
      </c>
      <c r="I17" s="21" t="e">
        <f t="shared" si="1"/>
        <v>#DIV/0!</v>
      </c>
      <c r="J17" s="21" t="e">
        <f t="shared" si="1"/>
        <v>#DIV/0!</v>
      </c>
      <c r="K17" s="21" t="e">
        <f t="shared" si="1"/>
        <v>#DIV/0!</v>
      </c>
    </row>
    <row r="18" spans="1:11" s="24" customFormat="1"/>
    <row r="19" spans="1:11" s="24" customFormat="1">
      <c r="A19" s="19" t="s">
        <v>55</v>
      </c>
      <c r="B19" s="20">
        <v>0</v>
      </c>
      <c r="C19" s="20">
        <v>0</v>
      </c>
      <c r="D19" s="20">
        <v>0</v>
      </c>
      <c r="E19" s="20">
        <v>0</v>
      </c>
      <c r="F19" s="20">
        <v>0</v>
      </c>
      <c r="G19" s="20">
        <v>0</v>
      </c>
      <c r="H19" s="20">
        <v>0</v>
      </c>
      <c r="I19" s="20">
        <v>0</v>
      </c>
      <c r="J19" s="20">
        <v>0</v>
      </c>
      <c r="K19" s="20">
        <v>0</v>
      </c>
    </row>
    <row r="20" spans="1:11" s="24" customFormat="1">
      <c r="A20" s="19" t="s">
        <v>56</v>
      </c>
      <c r="B20" s="20">
        <v>0</v>
      </c>
      <c r="C20" s="20">
        <v>0</v>
      </c>
      <c r="D20" s="20">
        <v>0</v>
      </c>
      <c r="E20" s="20">
        <v>0</v>
      </c>
      <c r="F20" s="20">
        <v>0</v>
      </c>
      <c r="G20" s="20">
        <v>0</v>
      </c>
      <c r="H20" s="20">
        <v>0</v>
      </c>
      <c r="I20" s="20">
        <v>0</v>
      </c>
      <c r="J20" s="20">
        <v>0</v>
      </c>
      <c r="K20" s="20">
        <v>0</v>
      </c>
    </row>
    <row r="21" spans="1:11" s="24" customFormat="1">
      <c r="A21" s="19" t="s">
        <v>57</v>
      </c>
      <c r="B21" s="20">
        <v>0</v>
      </c>
      <c r="C21" s="20">
        <v>0</v>
      </c>
      <c r="D21" s="20">
        <v>0</v>
      </c>
      <c r="E21" s="20">
        <v>0</v>
      </c>
      <c r="F21" s="20">
        <v>0</v>
      </c>
      <c r="G21" s="20">
        <v>0</v>
      </c>
      <c r="H21" s="20">
        <v>0</v>
      </c>
      <c r="I21" s="20">
        <v>0</v>
      </c>
      <c r="J21" s="20">
        <v>0</v>
      </c>
      <c r="K21" s="20">
        <v>0</v>
      </c>
    </row>
    <row r="22" spans="1:11" s="17" customFormat="1">
      <c r="A22" s="17" t="s">
        <v>58</v>
      </c>
      <c r="B22" s="27">
        <f>B16+B19+B20+B21</f>
        <v>0</v>
      </c>
      <c r="C22" s="27">
        <f>C16+C19+C20+C21</f>
        <v>0</v>
      </c>
      <c r="D22" s="27">
        <f>D16+D19+D20+D21</f>
        <v>0</v>
      </c>
      <c r="E22" s="27">
        <f t="shared" ref="E22:K22" si="2">E16+E19+E20+E21</f>
        <v>0</v>
      </c>
      <c r="F22" s="27">
        <f t="shared" si="2"/>
        <v>0</v>
      </c>
      <c r="G22" s="27">
        <f t="shared" si="2"/>
        <v>0</v>
      </c>
      <c r="H22" s="27">
        <f t="shared" si="2"/>
        <v>0</v>
      </c>
      <c r="I22" s="27">
        <f t="shared" si="2"/>
        <v>0</v>
      </c>
      <c r="J22" s="27">
        <f t="shared" si="2"/>
        <v>0</v>
      </c>
      <c r="K22" s="27">
        <f t="shared" si="2"/>
        <v>0</v>
      </c>
    </row>
    <row r="23" spans="1:11" s="17" customFormat="1">
      <c r="B23" s="27"/>
      <c r="C23" s="27"/>
      <c r="D23" s="27"/>
      <c r="E23" s="27"/>
      <c r="F23" s="27"/>
      <c r="G23" s="27"/>
      <c r="H23" s="27"/>
      <c r="I23" s="27"/>
      <c r="J23" s="27"/>
      <c r="K23" s="27"/>
    </row>
    <row r="24" spans="1:11" s="17" customFormat="1">
      <c r="A24" s="17" t="s">
        <v>59</v>
      </c>
      <c r="B24" s="27">
        <f t="shared" ref="B24:H24" si="3">SUM(B22:E22)</f>
        <v>0</v>
      </c>
      <c r="C24" s="27">
        <f t="shared" si="3"/>
        <v>0</v>
      </c>
      <c r="D24" s="27">
        <f t="shared" si="3"/>
        <v>0</v>
      </c>
      <c r="E24" s="27">
        <f t="shared" si="3"/>
        <v>0</v>
      </c>
      <c r="F24" s="27">
        <f t="shared" si="3"/>
        <v>0</v>
      </c>
      <c r="G24" s="27">
        <f t="shared" si="3"/>
        <v>0</v>
      </c>
      <c r="H24" s="27">
        <f t="shared" si="3"/>
        <v>0</v>
      </c>
      <c r="I24" s="27"/>
      <c r="J24" s="27"/>
      <c r="K24" s="27"/>
    </row>
    <row r="25" spans="1:11" s="24" customFormat="1">
      <c r="A25" s="19" t="s">
        <v>60</v>
      </c>
      <c r="B25" s="28">
        <v>0</v>
      </c>
      <c r="C25" s="28">
        <v>0</v>
      </c>
      <c r="D25" s="28">
        <v>0</v>
      </c>
      <c r="E25" s="28">
        <v>0</v>
      </c>
      <c r="F25" s="28">
        <v>0</v>
      </c>
      <c r="G25" s="28">
        <v>0</v>
      </c>
      <c r="H25" s="28">
        <v>0</v>
      </c>
      <c r="I25" s="28"/>
      <c r="J25" s="28"/>
      <c r="K25" s="28"/>
    </row>
    <row r="26" spans="1:11" s="24" customFormat="1">
      <c r="A26" s="19" t="s">
        <v>61</v>
      </c>
      <c r="B26" s="29">
        <v>0</v>
      </c>
      <c r="C26" s="29">
        <v>0</v>
      </c>
      <c r="D26" s="29">
        <v>0</v>
      </c>
      <c r="E26" s="29">
        <v>0</v>
      </c>
      <c r="F26" s="29">
        <v>0</v>
      </c>
      <c r="G26" s="29">
        <v>0</v>
      </c>
      <c r="H26" s="29">
        <v>0</v>
      </c>
      <c r="I26" s="30"/>
      <c r="J26" s="30"/>
      <c r="K26" s="30"/>
    </row>
    <row r="27" spans="1:11" s="32" customFormat="1">
      <c r="A27" s="17" t="s">
        <v>62</v>
      </c>
      <c r="B27" s="27">
        <f t="shared" ref="B27:H27" si="4">SUM(B24:B26)</f>
        <v>0</v>
      </c>
      <c r="C27" s="27">
        <f t="shared" si="4"/>
        <v>0</v>
      </c>
      <c r="D27" s="27">
        <f t="shared" si="4"/>
        <v>0</v>
      </c>
      <c r="E27" s="27">
        <f t="shared" si="4"/>
        <v>0</v>
      </c>
      <c r="F27" s="27">
        <f t="shared" si="4"/>
        <v>0</v>
      </c>
      <c r="G27" s="27">
        <f t="shared" si="4"/>
        <v>0</v>
      </c>
      <c r="H27" s="27">
        <f t="shared" si="4"/>
        <v>0</v>
      </c>
      <c r="I27" s="31"/>
      <c r="J27" s="31"/>
      <c r="K27" s="31"/>
    </row>
    <row r="28" spans="1:11" s="24" customFormat="1"/>
    <row r="29" spans="1:11" s="17" customFormat="1">
      <c r="A29" s="17" t="s">
        <v>58</v>
      </c>
      <c r="B29" s="27"/>
      <c r="C29" s="27"/>
      <c r="D29" s="27">
        <f t="shared" ref="D29:K29" si="5">D22</f>
        <v>0</v>
      </c>
      <c r="E29" s="27">
        <f t="shared" si="5"/>
        <v>0</v>
      </c>
      <c r="F29" s="27">
        <f t="shared" si="5"/>
        <v>0</v>
      </c>
      <c r="G29" s="27">
        <f t="shared" si="5"/>
        <v>0</v>
      </c>
      <c r="H29" s="27">
        <f t="shared" si="5"/>
        <v>0</v>
      </c>
      <c r="I29" s="27">
        <f t="shared" si="5"/>
        <v>0</v>
      </c>
      <c r="J29" s="27">
        <f t="shared" si="5"/>
        <v>0</v>
      </c>
      <c r="K29" s="27">
        <f t="shared" si="5"/>
        <v>0</v>
      </c>
    </row>
    <row r="30" spans="1:11" s="33" customFormat="1">
      <c r="A30" s="20" t="s">
        <v>63</v>
      </c>
      <c r="B30" s="20">
        <v>0</v>
      </c>
      <c r="C30" s="20">
        <v>0</v>
      </c>
      <c r="D30" s="20">
        <v>0</v>
      </c>
      <c r="E30" s="20">
        <v>0</v>
      </c>
      <c r="F30" s="20">
        <v>0</v>
      </c>
      <c r="G30" s="20">
        <v>0</v>
      </c>
      <c r="H30" s="20">
        <v>0</v>
      </c>
      <c r="I30" s="20">
        <v>0</v>
      </c>
      <c r="J30" s="20">
        <v>0</v>
      </c>
      <c r="K30" s="20">
        <v>0</v>
      </c>
    </row>
    <row r="31" spans="1:11" s="33" customFormat="1">
      <c r="A31" s="20" t="s">
        <v>64</v>
      </c>
      <c r="B31" s="20">
        <v>0</v>
      </c>
      <c r="C31" s="20">
        <v>0</v>
      </c>
      <c r="D31" s="20">
        <v>0</v>
      </c>
      <c r="E31" s="20">
        <v>0</v>
      </c>
      <c r="F31" s="20">
        <v>0</v>
      </c>
      <c r="G31" s="20">
        <v>0</v>
      </c>
      <c r="H31" s="20">
        <v>0</v>
      </c>
      <c r="I31" s="20">
        <v>0</v>
      </c>
      <c r="J31" s="20">
        <v>0</v>
      </c>
      <c r="K31" s="20">
        <v>0</v>
      </c>
    </row>
    <row r="32" spans="1:11" s="33" customFormat="1">
      <c r="A32" s="20" t="s">
        <v>65</v>
      </c>
      <c r="B32" s="20">
        <v>0</v>
      </c>
      <c r="C32" s="20">
        <v>0</v>
      </c>
      <c r="D32" s="20">
        <v>0</v>
      </c>
      <c r="E32" s="20">
        <v>0</v>
      </c>
      <c r="F32" s="20">
        <v>0</v>
      </c>
      <c r="G32" s="20">
        <v>0</v>
      </c>
      <c r="H32" s="20">
        <v>0</v>
      </c>
      <c r="I32" s="20">
        <v>0</v>
      </c>
      <c r="J32" s="20">
        <v>0</v>
      </c>
      <c r="K32" s="20">
        <v>0</v>
      </c>
    </row>
    <row r="33" spans="1:11" s="33" customFormat="1">
      <c r="A33" s="20" t="s">
        <v>66</v>
      </c>
      <c r="B33" s="20">
        <v>0</v>
      </c>
      <c r="C33" s="20">
        <v>0</v>
      </c>
      <c r="D33" s="20">
        <v>0</v>
      </c>
      <c r="E33" s="20">
        <v>0</v>
      </c>
      <c r="F33" s="20">
        <v>0</v>
      </c>
      <c r="G33" s="20">
        <v>0</v>
      </c>
      <c r="H33" s="20">
        <v>0</v>
      </c>
      <c r="I33" s="20">
        <v>0</v>
      </c>
      <c r="J33" s="20">
        <v>0</v>
      </c>
      <c r="K33" s="20">
        <v>0</v>
      </c>
    </row>
    <row r="34" spans="1:11" s="33" customFormat="1">
      <c r="A34" s="20" t="s">
        <v>57</v>
      </c>
      <c r="B34" s="29">
        <v>0</v>
      </c>
      <c r="C34" s="29">
        <v>0</v>
      </c>
      <c r="D34" s="29">
        <v>0</v>
      </c>
      <c r="E34" s="29">
        <v>0</v>
      </c>
      <c r="F34" s="29">
        <v>0</v>
      </c>
      <c r="G34" s="29">
        <v>0</v>
      </c>
      <c r="H34" s="29">
        <v>0</v>
      </c>
      <c r="I34" s="29">
        <v>0</v>
      </c>
      <c r="J34" s="29">
        <v>0</v>
      </c>
      <c r="K34" s="29">
        <v>0</v>
      </c>
    </row>
    <row r="35" spans="1:11" s="27" customFormat="1">
      <c r="A35" s="27" t="s">
        <v>67</v>
      </c>
      <c r="B35" s="27">
        <v>0</v>
      </c>
      <c r="C35" s="27">
        <v>0</v>
      </c>
      <c r="D35" s="27">
        <v>0</v>
      </c>
      <c r="E35" s="27">
        <v>0</v>
      </c>
      <c r="F35" s="27">
        <v>0</v>
      </c>
      <c r="G35" s="27">
        <v>0</v>
      </c>
      <c r="H35" s="27">
        <v>0</v>
      </c>
      <c r="I35" s="27">
        <v>0</v>
      </c>
      <c r="J35" s="27">
        <v>0</v>
      </c>
      <c r="K35" s="27">
        <v>0</v>
      </c>
    </row>
    <row r="36" spans="1:11" s="33" customFormat="1">
      <c r="A36" s="20" t="s">
        <v>68</v>
      </c>
      <c r="B36" s="29">
        <v>0</v>
      </c>
      <c r="C36" s="29">
        <v>0</v>
      </c>
      <c r="D36" s="29">
        <v>0</v>
      </c>
      <c r="E36" s="29">
        <v>0</v>
      </c>
      <c r="F36" s="29">
        <v>0</v>
      </c>
      <c r="G36" s="29">
        <v>0</v>
      </c>
      <c r="H36" s="29">
        <v>0</v>
      </c>
      <c r="I36" s="29">
        <v>0</v>
      </c>
      <c r="J36" s="29">
        <v>0</v>
      </c>
      <c r="K36" s="29">
        <v>0</v>
      </c>
    </row>
    <row r="37" spans="1:11" s="27" customFormat="1">
      <c r="A37" s="27" t="s">
        <v>69</v>
      </c>
      <c r="B37" s="27">
        <f>+B35+B36</f>
        <v>0</v>
      </c>
      <c r="C37" s="27">
        <f>+C35+C36</f>
        <v>0</v>
      </c>
      <c r="D37" s="27">
        <f>+D35+D36</f>
        <v>0</v>
      </c>
      <c r="E37" s="27">
        <f t="shared" ref="E37:K37" si="6">+E35+E36</f>
        <v>0</v>
      </c>
      <c r="F37" s="27">
        <f t="shared" si="6"/>
        <v>0</v>
      </c>
      <c r="G37" s="27">
        <f t="shared" si="6"/>
        <v>0</v>
      </c>
      <c r="H37" s="27">
        <f t="shared" si="6"/>
        <v>0</v>
      </c>
      <c r="I37" s="27">
        <f t="shared" si="6"/>
        <v>0</v>
      </c>
      <c r="J37" s="27">
        <f t="shared" si="6"/>
        <v>0</v>
      </c>
      <c r="K37" s="27">
        <f t="shared" si="6"/>
        <v>0</v>
      </c>
    </row>
    <row r="39" spans="1:11" s="35" customFormat="1">
      <c r="A39" s="34" t="s">
        <v>70</v>
      </c>
      <c r="B39" s="20">
        <v>0</v>
      </c>
      <c r="C39" s="20">
        <v>0</v>
      </c>
      <c r="D39" s="20">
        <v>0</v>
      </c>
      <c r="E39" s="20">
        <v>0</v>
      </c>
      <c r="F39" s="20">
        <v>0</v>
      </c>
      <c r="G39" s="20">
        <v>0</v>
      </c>
      <c r="H39" s="20">
        <v>0</v>
      </c>
      <c r="I39" s="20"/>
      <c r="J39" s="20"/>
      <c r="K39" s="20"/>
    </row>
    <row r="40" spans="1:11" s="35" customFormat="1">
      <c r="A40" s="34" t="s">
        <v>71</v>
      </c>
      <c r="B40" s="20">
        <v>0</v>
      </c>
      <c r="C40" s="20">
        <v>0</v>
      </c>
      <c r="D40" s="20">
        <v>0</v>
      </c>
      <c r="E40" s="20">
        <v>0</v>
      </c>
      <c r="F40" s="20">
        <v>0</v>
      </c>
      <c r="G40" s="20">
        <v>0</v>
      </c>
      <c r="H40" s="20">
        <v>0</v>
      </c>
      <c r="I40" s="20"/>
      <c r="J40" s="20"/>
      <c r="K40" s="20"/>
    </row>
    <row r="41" spans="1:11" s="35" customFormat="1">
      <c r="A41" s="34" t="s">
        <v>72</v>
      </c>
      <c r="B41" s="20">
        <v>0</v>
      </c>
      <c r="C41" s="20">
        <v>0</v>
      </c>
      <c r="D41" s="20">
        <v>0</v>
      </c>
      <c r="E41" s="20">
        <v>0</v>
      </c>
      <c r="F41" s="20">
        <v>0</v>
      </c>
      <c r="G41" s="20">
        <v>0</v>
      </c>
      <c r="H41" s="20">
        <v>0</v>
      </c>
      <c r="I41" s="20"/>
      <c r="J41" s="20"/>
      <c r="K41" s="20"/>
    </row>
    <row r="42" spans="1:11" s="35" customFormat="1">
      <c r="A42" s="34" t="s">
        <v>73</v>
      </c>
      <c r="B42" s="36">
        <v>0</v>
      </c>
      <c r="C42" s="36">
        <v>0</v>
      </c>
      <c r="D42" s="36">
        <v>0</v>
      </c>
      <c r="E42" s="36">
        <v>0</v>
      </c>
      <c r="F42" s="36">
        <v>0</v>
      </c>
      <c r="G42" s="36">
        <v>0</v>
      </c>
      <c r="H42" s="36">
        <v>0</v>
      </c>
      <c r="I42" s="36"/>
      <c r="J42" s="36"/>
      <c r="K42" s="36"/>
    </row>
    <row r="43" spans="1:11">
      <c r="B43" s="35"/>
      <c r="C43" s="35"/>
      <c r="D43" s="35"/>
      <c r="E43" s="35"/>
      <c r="F43" s="35"/>
    </row>
    <row r="44" spans="1:11">
      <c r="A44" s="19" t="s">
        <v>74</v>
      </c>
      <c r="B44" s="28">
        <v>0</v>
      </c>
      <c r="C44" s="28">
        <v>0</v>
      </c>
      <c r="D44" s="28">
        <v>0</v>
      </c>
      <c r="E44" s="28">
        <v>0</v>
      </c>
      <c r="F44" s="28">
        <v>0</v>
      </c>
      <c r="G44" s="28">
        <v>0</v>
      </c>
      <c r="H44" s="28">
        <v>0</v>
      </c>
      <c r="I44" s="28"/>
      <c r="J44" s="28"/>
      <c r="K44" s="28"/>
    </row>
    <row r="46" spans="1:11">
      <c r="A46" s="14" t="s">
        <v>75</v>
      </c>
      <c r="B46" s="33">
        <f t="shared" ref="B46:H46" si="7">SUM(B12:E12)</f>
        <v>0</v>
      </c>
      <c r="C46" s="33">
        <f t="shared" si="7"/>
        <v>0</v>
      </c>
      <c r="D46" s="33">
        <f t="shared" si="7"/>
        <v>0</v>
      </c>
      <c r="E46" s="33">
        <f t="shared" si="7"/>
        <v>0</v>
      </c>
      <c r="F46" s="33">
        <f t="shared" si="7"/>
        <v>0</v>
      </c>
      <c r="G46" s="33">
        <f t="shared" si="7"/>
        <v>0</v>
      </c>
      <c r="H46" s="33">
        <f t="shared" si="7"/>
        <v>0</v>
      </c>
    </row>
    <row r="47" spans="1:11">
      <c r="A47" s="14" t="s">
        <v>76</v>
      </c>
      <c r="B47" s="33">
        <f t="shared" ref="B47:H47" si="8">+B27</f>
        <v>0</v>
      </c>
      <c r="C47" s="33">
        <f t="shared" si="8"/>
        <v>0</v>
      </c>
      <c r="D47" s="33">
        <f t="shared" si="8"/>
        <v>0</v>
      </c>
      <c r="E47" s="33">
        <f t="shared" si="8"/>
        <v>0</v>
      </c>
      <c r="F47" s="33">
        <f t="shared" si="8"/>
        <v>0</v>
      </c>
      <c r="G47" s="33">
        <f t="shared" si="8"/>
        <v>0</v>
      </c>
      <c r="H47" s="33">
        <f t="shared" si="8"/>
        <v>0</v>
      </c>
    </row>
    <row r="48" spans="1:11">
      <c r="A48" s="14" t="s">
        <v>77</v>
      </c>
      <c r="B48" s="33">
        <f t="shared" ref="B48:H48" si="9">+SUM(B37:E37)</f>
        <v>0</v>
      </c>
      <c r="C48" s="33">
        <f t="shared" si="9"/>
        <v>0</v>
      </c>
      <c r="D48" s="33">
        <f t="shared" si="9"/>
        <v>0</v>
      </c>
      <c r="E48" s="33">
        <f t="shared" si="9"/>
        <v>0</v>
      </c>
      <c r="F48" s="33">
        <f t="shared" si="9"/>
        <v>0</v>
      </c>
      <c r="G48" s="33">
        <f t="shared" si="9"/>
        <v>0</v>
      </c>
      <c r="H48" s="33">
        <f t="shared" si="9"/>
        <v>0</v>
      </c>
    </row>
    <row r="50" spans="1:11" s="37" customFormat="1">
      <c r="A50" s="37" t="s">
        <v>78</v>
      </c>
      <c r="B50" s="37" t="e">
        <f t="shared" ref="B50:H50" si="10">+SUM(B39:B40)/B47</f>
        <v>#DIV/0!</v>
      </c>
      <c r="C50" s="37" t="e">
        <f t="shared" si="10"/>
        <v>#DIV/0!</v>
      </c>
      <c r="D50" s="37" t="e">
        <f t="shared" si="10"/>
        <v>#DIV/0!</v>
      </c>
      <c r="E50" s="37" t="e">
        <f t="shared" si="10"/>
        <v>#DIV/0!</v>
      </c>
      <c r="F50" s="37" t="e">
        <f t="shared" si="10"/>
        <v>#DIV/0!</v>
      </c>
      <c r="G50" s="37" t="e">
        <f t="shared" si="10"/>
        <v>#DIV/0!</v>
      </c>
      <c r="H50" s="37" t="e">
        <f t="shared" si="10"/>
        <v>#DIV/0!</v>
      </c>
    </row>
    <row r="51" spans="1:11" s="37" customFormat="1">
      <c r="A51" s="37" t="s">
        <v>79</v>
      </c>
      <c r="B51" s="37" t="e">
        <f t="shared" ref="B51:H51" si="11">+B41/B47</f>
        <v>#DIV/0!</v>
      </c>
      <c r="C51" s="37" t="e">
        <f t="shared" si="11"/>
        <v>#DIV/0!</v>
      </c>
      <c r="D51" s="37" t="e">
        <f t="shared" si="11"/>
        <v>#DIV/0!</v>
      </c>
      <c r="E51" s="37" t="e">
        <f t="shared" si="11"/>
        <v>#DIV/0!</v>
      </c>
      <c r="F51" s="37" t="e">
        <f t="shared" si="11"/>
        <v>#DIV/0!</v>
      </c>
      <c r="G51" s="37" t="e">
        <f t="shared" si="11"/>
        <v>#DIV/0!</v>
      </c>
      <c r="H51" s="37" t="e">
        <f t="shared" si="11"/>
        <v>#DIV/0!</v>
      </c>
    </row>
    <row r="52" spans="1:11" s="37" customFormat="1">
      <c r="A52" s="37" t="s">
        <v>80</v>
      </c>
      <c r="B52" s="37" t="e">
        <f t="shared" ref="B52:H52" si="12">+(B41-B44)/B47</f>
        <v>#DIV/0!</v>
      </c>
      <c r="C52" s="37" t="e">
        <f t="shared" si="12"/>
        <v>#DIV/0!</v>
      </c>
      <c r="D52" s="37" t="e">
        <f t="shared" si="12"/>
        <v>#DIV/0!</v>
      </c>
      <c r="E52" s="37" t="e">
        <f t="shared" si="12"/>
        <v>#DIV/0!</v>
      </c>
      <c r="F52" s="37" t="e">
        <f t="shared" si="12"/>
        <v>#DIV/0!</v>
      </c>
      <c r="G52" s="37" t="e">
        <f t="shared" si="12"/>
        <v>#DIV/0!</v>
      </c>
      <c r="H52" s="37" t="e">
        <f t="shared" si="12"/>
        <v>#DIV/0!</v>
      </c>
    </row>
    <row r="53" spans="1:11" s="38" customFormat="1">
      <c r="A53" s="38" t="s">
        <v>81</v>
      </c>
      <c r="B53" s="38" t="e">
        <f t="shared" ref="B53:H53" si="13">+B48/B41</f>
        <v>#DIV/0!</v>
      </c>
      <c r="C53" s="38" t="e">
        <f t="shared" si="13"/>
        <v>#DIV/0!</v>
      </c>
      <c r="D53" s="38" t="e">
        <f t="shared" si="13"/>
        <v>#DIV/0!</v>
      </c>
      <c r="E53" s="38" t="e">
        <f t="shared" si="13"/>
        <v>#DIV/0!</v>
      </c>
      <c r="F53" s="38" t="e">
        <f t="shared" si="13"/>
        <v>#DIV/0!</v>
      </c>
      <c r="G53" s="38" t="e">
        <f t="shared" si="13"/>
        <v>#DIV/0!</v>
      </c>
      <c r="H53" s="38" t="e">
        <f t="shared" si="13"/>
        <v>#DIV/0!</v>
      </c>
    </row>
    <row r="54" spans="1:11" s="38" customFormat="1">
      <c r="A54" s="39" t="s">
        <v>82</v>
      </c>
      <c r="B54" s="40"/>
      <c r="C54" s="40"/>
      <c r="D54" s="40"/>
      <c r="E54" s="40"/>
      <c r="F54" s="40"/>
      <c r="G54" s="40"/>
      <c r="H54" s="40"/>
      <c r="I54" s="39"/>
      <c r="J54" s="39"/>
      <c r="K54" s="39"/>
    </row>
    <row r="55" spans="1:11" s="38" customFormat="1">
      <c r="A55" s="38" t="s">
        <v>83</v>
      </c>
      <c r="B55" s="41" t="str">
        <f t="shared" ref="B55:H55" si="14">IF(B42=0,IF(B54="","","*"&amp;TEXT(B54,"0.0x")),(B41+B42-B44)/B47)</f>
        <v/>
      </c>
      <c r="C55" s="41" t="str">
        <f t="shared" si="14"/>
        <v/>
      </c>
      <c r="D55" s="41" t="str">
        <f t="shared" si="14"/>
        <v/>
      </c>
      <c r="E55" s="41" t="str">
        <f t="shared" si="14"/>
        <v/>
      </c>
      <c r="F55" s="41" t="str">
        <f t="shared" si="14"/>
        <v/>
      </c>
      <c r="G55" s="41" t="str">
        <f t="shared" si="14"/>
        <v/>
      </c>
      <c r="H55" s="41" t="str">
        <f t="shared" si="14"/>
        <v/>
      </c>
      <c r="I55" s="41" t="str">
        <f>IF(I42=0,IF(I54="","",CONCATENATE("* ",I54,"x")),(I41+I42-I44)/I47)</f>
        <v/>
      </c>
      <c r="J55" s="41" t="str">
        <f>IF(J42=0,IF(J54="","",CONCATENATE("* ",J54,"x")),(J41+J42-J44)/J47)</f>
        <v/>
      </c>
      <c r="K55" s="41" t="str">
        <f>IF(K42=0,IF(K54="","",CONCATENATE("* ",K54,"x")),(K41+K42-K44)/K47)</f>
        <v/>
      </c>
    </row>
    <row r="56" spans="1:11">
      <c r="H56" s="42"/>
    </row>
    <row r="57" spans="1:11" ht="80.25" customHeight="1">
      <c r="A57" s="43" t="s">
        <v>84</v>
      </c>
      <c r="B57" s="44"/>
      <c r="C57" s="44"/>
      <c r="D57" s="44"/>
      <c r="E57" s="44"/>
      <c r="F57" s="44"/>
      <c r="G57" s="44"/>
      <c r="H57" s="44"/>
      <c r="I57" s="44"/>
      <c r="J57" s="44"/>
      <c r="K57" s="44"/>
    </row>
    <row r="58" spans="1:11">
      <c r="A58" s="45"/>
      <c r="B58" s="42"/>
      <c r="C58" s="42"/>
      <c r="D58" s="42"/>
    </row>
    <row r="59" spans="1:11">
      <c r="A59" s="45"/>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FF0000"/>
  </sheetPr>
  <dimension ref="A2:K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ColWidth="9.109375" defaultRowHeight="13.8"/>
  <cols>
    <col min="1" max="1" width="22.6640625" style="14" customWidth="1"/>
    <col min="2" max="11" width="10.6640625" style="14" customWidth="1"/>
    <col min="12" max="16384" width="9.109375" style="14"/>
  </cols>
  <sheetData>
    <row r="2" spans="1:11">
      <c r="A2" s="13" t="s">
        <v>44</v>
      </c>
      <c r="B2" s="14" t="s">
        <v>20</v>
      </c>
    </row>
    <row r="3" spans="1:11" s="16" customFormat="1">
      <c r="A3" s="15" t="s">
        <v>45</v>
      </c>
      <c r="B3" s="16" t="s">
        <v>133</v>
      </c>
    </row>
    <row r="4" spans="1:11">
      <c r="A4" s="13" t="s">
        <v>2</v>
      </c>
      <c r="B4" s="14" t="s">
        <v>4</v>
      </c>
    </row>
    <row r="5" spans="1:11">
      <c r="A5" s="13" t="s">
        <v>46</v>
      </c>
    </row>
    <row r="6" spans="1:11">
      <c r="A6" s="13" t="s">
        <v>47</v>
      </c>
      <c r="B6" s="14">
        <v>4</v>
      </c>
    </row>
    <row r="7" spans="1:11">
      <c r="A7" s="13" t="s">
        <v>48</v>
      </c>
      <c r="B7" s="14" t="e">
        <v>#N/A</v>
      </c>
    </row>
    <row r="8" spans="1:11">
      <c r="A8" s="13" t="s">
        <v>347</v>
      </c>
      <c r="B8" s="14" t="e">
        <v>#N/A</v>
      </c>
    </row>
    <row r="9" spans="1:11">
      <c r="A9" s="17"/>
    </row>
    <row r="10" spans="1:11">
      <c r="A10" s="17" t="s">
        <v>49</v>
      </c>
      <c r="B10" s="18">
        <v>43100</v>
      </c>
      <c r="C10" s="18">
        <v>43008</v>
      </c>
      <c r="D10" s="18">
        <v>42916</v>
      </c>
      <c r="E10" s="18">
        <v>42825</v>
      </c>
      <c r="F10" s="18">
        <v>42735</v>
      </c>
      <c r="G10" s="18">
        <v>42643</v>
      </c>
      <c r="H10" s="18">
        <v>42551</v>
      </c>
      <c r="I10" s="18">
        <v>42460</v>
      </c>
      <c r="J10" s="18">
        <v>42369</v>
      </c>
      <c r="K10" s="18">
        <v>42277</v>
      </c>
    </row>
    <row r="12" spans="1:11">
      <c r="A12" s="19" t="s">
        <v>50</v>
      </c>
      <c r="B12" s="20">
        <v>175</v>
      </c>
      <c r="C12" s="20">
        <v>178.7</v>
      </c>
      <c r="D12" s="20">
        <v>182.2</v>
      </c>
      <c r="E12" s="20">
        <v>185.9</v>
      </c>
      <c r="F12" s="20">
        <v>167.6</v>
      </c>
      <c r="G12" s="20">
        <v>171.5</v>
      </c>
      <c r="H12" s="20">
        <v>158.80000000000001</v>
      </c>
      <c r="I12" s="20">
        <v>159.9</v>
      </c>
      <c r="J12" s="20">
        <v>153.4</v>
      </c>
      <c r="K12" s="20">
        <v>140.30000000000001</v>
      </c>
    </row>
    <row r="13" spans="1:11" s="21" customFormat="1">
      <c r="A13" s="21" t="s">
        <v>51</v>
      </c>
      <c r="B13" s="21">
        <f t="shared" ref="B13:G13" si="0">+B12/F12-1</f>
        <v>4.4152744630071572E-2</v>
      </c>
      <c r="C13" s="21">
        <f t="shared" si="0"/>
        <v>4.1982507288629733E-2</v>
      </c>
      <c r="D13" s="21">
        <f t="shared" si="0"/>
        <v>0.14735516372795954</v>
      </c>
      <c r="E13" s="21">
        <f t="shared" si="0"/>
        <v>0.16260162601626016</v>
      </c>
      <c r="F13" s="21">
        <f t="shared" si="0"/>
        <v>9.2568448500651712E-2</v>
      </c>
      <c r="G13" s="21">
        <f t="shared" si="0"/>
        <v>0.22238061297220235</v>
      </c>
    </row>
    <row r="14" spans="1:11" s="24" customFormat="1">
      <c r="A14" s="22" t="s">
        <v>52</v>
      </c>
      <c r="B14" s="23" t="s">
        <v>3</v>
      </c>
      <c r="C14" s="23" t="s">
        <v>3</v>
      </c>
      <c r="D14" s="23" t="s">
        <v>3</v>
      </c>
      <c r="E14" s="23" t="s">
        <v>3</v>
      </c>
      <c r="F14" s="23" t="s">
        <v>3</v>
      </c>
      <c r="G14" s="23" t="s">
        <v>3</v>
      </c>
      <c r="H14" s="22"/>
      <c r="I14" s="22"/>
      <c r="J14" s="22"/>
      <c r="K14" s="22"/>
    </row>
    <row r="16" spans="1:11" s="17" customFormat="1">
      <c r="A16" s="25" t="s">
        <v>53</v>
      </c>
      <c r="B16" s="26">
        <v>25.1</v>
      </c>
      <c r="C16" s="26">
        <v>23.9</v>
      </c>
      <c r="D16" s="26">
        <v>23.8</v>
      </c>
      <c r="E16" s="26">
        <v>23.3</v>
      </c>
      <c r="F16" s="26">
        <v>28.5</v>
      </c>
      <c r="G16" s="26">
        <v>24.9</v>
      </c>
      <c r="H16" s="26">
        <v>26.2</v>
      </c>
      <c r="I16" s="26">
        <v>22.2</v>
      </c>
      <c r="J16" s="26">
        <v>24.5</v>
      </c>
      <c r="K16" s="26">
        <v>26.5</v>
      </c>
    </row>
    <row r="17" spans="1:11" s="21" customFormat="1">
      <c r="A17" s="21" t="s">
        <v>54</v>
      </c>
      <c r="B17" s="21">
        <f>+B16/B12</f>
        <v>0.14342857142857143</v>
      </c>
      <c r="C17" s="21">
        <f>+C16/C12</f>
        <v>0.13374370453273643</v>
      </c>
      <c r="D17" s="21">
        <f>+D16/D12</f>
        <v>0.13062568605927552</v>
      </c>
      <c r="E17" s="21">
        <f t="shared" ref="E17:K17" si="1">+E16/E12</f>
        <v>0.12533620225927919</v>
      </c>
      <c r="F17" s="21">
        <f t="shared" si="1"/>
        <v>0.17004773269689738</v>
      </c>
      <c r="G17" s="21">
        <f t="shared" si="1"/>
        <v>0.14518950437317785</v>
      </c>
      <c r="H17" s="21">
        <f t="shared" si="1"/>
        <v>0.16498740554156169</v>
      </c>
      <c r="I17" s="21">
        <f t="shared" si="1"/>
        <v>0.13883677298311445</v>
      </c>
      <c r="J17" s="21">
        <f t="shared" si="1"/>
        <v>0.15971316818774445</v>
      </c>
      <c r="K17" s="21">
        <f t="shared" si="1"/>
        <v>0.18888096935138987</v>
      </c>
    </row>
    <row r="18" spans="1:11" s="24" customFormat="1"/>
    <row r="19" spans="1:11" s="24" customFormat="1">
      <c r="A19" s="19" t="s">
        <v>55</v>
      </c>
      <c r="B19" s="20">
        <v>0</v>
      </c>
      <c r="C19" s="20">
        <v>0</v>
      </c>
      <c r="D19" s="20">
        <v>0</v>
      </c>
      <c r="E19" s="20">
        <v>0</v>
      </c>
      <c r="F19" s="20">
        <v>0</v>
      </c>
      <c r="G19" s="20">
        <v>0</v>
      </c>
      <c r="H19" s="20">
        <v>0</v>
      </c>
      <c r="I19" s="20">
        <v>0</v>
      </c>
      <c r="J19" s="20">
        <v>0</v>
      </c>
      <c r="K19" s="20">
        <v>0</v>
      </c>
    </row>
    <row r="20" spans="1:11" s="24" customFormat="1">
      <c r="A20" s="19" t="s">
        <v>56</v>
      </c>
      <c r="B20" s="20">
        <v>0</v>
      </c>
      <c r="C20" s="20">
        <v>0</v>
      </c>
      <c r="D20" s="20">
        <v>0</v>
      </c>
      <c r="E20" s="20">
        <v>0</v>
      </c>
      <c r="F20" s="20">
        <v>0</v>
      </c>
      <c r="G20" s="20">
        <v>0</v>
      </c>
      <c r="H20" s="20">
        <v>0</v>
      </c>
      <c r="I20" s="20">
        <v>0</v>
      </c>
      <c r="J20" s="20">
        <v>0</v>
      </c>
      <c r="K20" s="20">
        <v>0</v>
      </c>
    </row>
    <row r="21" spans="1:11" s="24" customFormat="1">
      <c r="A21" s="19" t="s">
        <v>57</v>
      </c>
      <c r="B21" s="20">
        <v>0</v>
      </c>
      <c r="C21" s="20">
        <v>0</v>
      </c>
      <c r="D21" s="20">
        <v>0</v>
      </c>
      <c r="E21" s="20">
        <v>0</v>
      </c>
      <c r="F21" s="20">
        <v>0</v>
      </c>
      <c r="G21" s="20">
        <v>0</v>
      </c>
      <c r="H21" s="20">
        <v>0</v>
      </c>
      <c r="I21" s="20">
        <v>0</v>
      </c>
      <c r="J21" s="20">
        <v>0</v>
      </c>
      <c r="K21" s="20">
        <v>0</v>
      </c>
    </row>
    <row r="22" spans="1:11" s="17" customFormat="1">
      <c r="A22" s="17" t="s">
        <v>58</v>
      </c>
      <c r="B22" s="27">
        <f>SUM(B16,B19:B21)</f>
        <v>25.1</v>
      </c>
      <c r="C22" s="27">
        <f>SUM(C16,C19:C21)</f>
        <v>23.9</v>
      </c>
      <c r="D22" s="27">
        <f>SUM(D16,D19:D21)</f>
        <v>23.8</v>
      </c>
      <c r="E22" s="27">
        <f t="shared" ref="E22:K22" si="2">SUM(E16,E19:E21)</f>
        <v>23.3</v>
      </c>
      <c r="F22" s="27">
        <f t="shared" si="2"/>
        <v>28.5</v>
      </c>
      <c r="G22" s="27">
        <f t="shared" si="2"/>
        <v>24.9</v>
      </c>
      <c r="H22" s="27">
        <f t="shared" si="2"/>
        <v>26.2</v>
      </c>
      <c r="I22" s="27">
        <f t="shared" si="2"/>
        <v>22.2</v>
      </c>
      <c r="J22" s="27">
        <f t="shared" si="2"/>
        <v>24.5</v>
      </c>
      <c r="K22" s="27">
        <f t="shared" si="2"/>
        <v>26.5</v>
      </c>
    </row>
    <row r="23" spans="1:11" s="17" customFormat="1">
      <c r="B23" s="27"/>
      <c r="C23" s="27"/>
      <c r="D23" s="27"/>
      <c r="E23" s="27"/>
      <c r="F23" s="27"/>
      <c r="G23" s="27"/>
      <c r="H23" s="27"/>
      <c r="I23" s="27"/>
      <c r="J23" s="27"/>
      <c r="K23" s="27"/>
    </row>
    <row r="24" spans="1:11" s="17" customFormat="1">
      <c r="A24" s="17" t="s">
        <v>59</v>
      </c>
      <c r="B24" s="27">
        <f t="shared" ref="B24:H24" si="3">SUM(B22:E22)</f>
        <v>96.1</v>
      </c>
      <c r="C24" s="27">
        <f t="shared" si="3"/>
        <v>99.5</v>
      </c>
      <c r="D24" s="27">
        <f t="shared" si="3"/>
        <v>100.5</v>
      </c>
      <c r="E24" s="27">
        <f t="shared" si="3"/>
        <v>102.89999999999999</v>
      </c>
      <c r="F24" s="27">
        <f t="shared" si="3"/>
        <v>101.8</v>
      </c>
      <c r="G24" s="27">
        <f t="shared" si="3"/>
        <v>97.8</v>
      </c>
      <c r="H24" s="27">
        <f t="shared" si="3"/>
        <v>99.4</v>
      </c>
      <c r="I24" s="27"/>
      <c r="J24" s="27"/>
      <c r="K24" s="27"/>
    </row>
    <row r="25" spans="1:11" s="24" customFormat="1">
      <c r="A25" s="19" t="s">
        <v>60</v>
      </c>
      <c r="B25" s="28">
        <f>101.9-B24</f>
        <v>5.8000000000000114</v>
      </c>
      <c r="C25" s="28">
        <v>0</v>
      </c>
      <c r="D25" s="28">
        <v>0</v>
      </c>
      <c r="E25" s="28">
        <v>0</v>
      </c>
      <c r="F25" s="28">
        <v>0</v>
      </c>
      <c r="G25" s="28">
        <v>0</v>
      </c>
      <c r="H25" s="28">
        <v>0</v>
      </c>
      <c r="I25" s="28"/>
      <c r="J25" s="28"/>
      <c r="K25" s="28"/>
    </row>
    <row r="26" spans="1:11" s="24" customFormat="1">
      <c r="A26" s="19" t="s">
        <v>61</v>
      </c>
      <c r="B26" s="29">
        <v>0</v>
      </c>
      <c r="C26" s="29">
        <v>0</v>
      </c>
      <c r="D26" s="29">
        <v>0</v>
      </c>
      <c r="E26" s="29">
        <v>0</v>
      </c>
      <c r="F26" s="29">
        <v>0</v>
      </c>
      <c r="G26" s="29">
        <v>0</v>
      </c>
      <c r="H26" s="29">
        <v>0</v>
      </c>
      <c r="I26" s="30"/>
      <c r="J26" s="30"/>
      <c r="K26" s="30"/>
    </row>
    <row r="27" spans="1:11" s="32" customFormat="1">
      <c r="A27" s="17" t="s">
        <v>62</v>
      </c>
      <c r="B27" s="27">
        <f t="shared" ref="B27:H27" si="4">SUM(B24:B26)</f>
        <v>101.9</v>
      </c>
      <c r="C27" s="27">
        <f t="shared" si="4"/>
        <v>99.5</v>
      </c>
      <c r="D27" s="27">
        <f t="shared" si="4"/>
        <v>100.5</v>
      </c>
      <c r="E27" s="27">
        <f t="shared" si="4"/>
        <v>102.89999999999999</v>
      </c>
      <c r="F27" s="27">
        <f t="shared" si="4"/>
        <v>101.8</v>
      </c>
      <c r="G27" s="27">
        <f t="shared" si="4"/>
        <v>97.8</v>
      </c>
      <c r="H27" s="27">
        <f t="shared" si="4"/>
        <v>99.4</v>
      </c>
      <c r="I27" s="31"/>
      <c r="J27" s="31"/>
      <c r="K27" s="31"/>
    </row>
    <row r="28" spans="1:11" s="24" customFormat="1"/>
    <row r="29" spans="1:11" s="17" customFormat="1">
      <c r="A29" s="17" t="s">
        <v>58</v>
      </c>
      <c r="B29" s="27">
        <f>B22</f>
        <v>25.1</v>
      </c>
      <c r="C29" s="27">
        <f>C22</f>
        <v>23.9</v>
      </c>
      <c r="D29" s="27">
        <f t="shared" ref="D29:K29" si="5">D22</f>
        <v>23.8</v>
      </c>
      <c r="E29" s="27">
        <f t="shared" si="5"/>
        <v>23.3</v>
      </c>
      <c r="F29" s="27">
        <f t="shared" si="5"/>
        <v>28.5</v>
      </c>
      <c r="G29" s="27">
        <f t="shared" si="5"/>
        <v>24.9</v>
      </c>
      <c r="H29" s="27">
        <f t="shared" si="5"/>
        <v>26.2</v>
      </c>
      <c r="I29" s="27">
        <f t="shared" si="5"/>
        <v>22.2</v>
      </c>
      <c r="J29" s="27">
        <f t="shared" si="5"/>
        <v>24.5</v>
      </c>
      <c r="K29" s="27">
        <f t="shared" si="5"/>
        <v>26.5</v>
      </c>
    </row>
    <row r="30" spans="1:11" s="33" customFormat="1">
      <c r="A30" s="20" t="s">
        <v>63</v>
      </c>
      <c r="B30" s="20">
        <v>-10.5</v>
      </c>
      <c r="C30" s="20">
        <f>+-11.5</f>
        <v>-11.5</v>
      </c>
      <c r="D30" s="20">
        <v>-10.5</v>
      </c>
      <c r="E30" s="20">
        <v>-10.7</v>
      </c>
      <c r="F30" s="20">
        <f>-38.8-I30-H30-G30</f>
        <v>-10.299999999999995</v>
      </c>
      <c r="G30" s="20">
        <v>-9.9</v>
      </c>
      <c r="H30" s="20">
        <v>-9</v>
      </c>
      <c r="I30" s="20">
        <v>-9.6</v>
      </c>
      <c r="J30" s="20">
        <f>-39.2+29.4</f>
        <v>-9.8000000000000043</v>
      </c>
      <c r="K30" s="20">
        <v>-9.9</v>
      </c>
    </row>
    <row r="31" spans="1:11" s="33" customFormat="1">
      <c r="A31" s="20" t="s">
        <v>64</v>
      </c>
      <c r="B31" s="20">
        <v>-3.4000000000000004</v>
      </c>
      <c r="C31" s="20">
        <f>+-2</f>
        <v>-2</v>
      </c>
      <c r="D31" s="20">
        <v>0.4</v>
      </c>
      <c r="E31" s="20">
        <v>-0.2</v>
      </c>
      <c r="F31" s="20">
        <f>-7-I31-H31-H31</f>
        <v>-1.5</v>
      </c>
      <c r="G31" s="20">
        <v>-1.1000000000000001</v>
      </c>
      <c r="H31" s="20">
        <v>-2.1</v>
      </c>
      <c r="I31" s="20">
        <v>-1.3</v>
      </c>
      <c r="J31" s="20">
        <f>-6-(-4.6)</f>
        <v>-1.4000000000000004</v>
      </c>
      <c r="K31" s="20">
        <v>-1.1000000000000001</v>
      </c>
    </row>
    <row r="32" spans="1:11" s="33" customFormat="1">
      <c r="A32" s="20" t="s">
        <v>65</v>
      </c>
      <c r="B32" s="20">
        <v>1.100000000000001</v>
      </c>
      <c r="C32" s="20">
        <v>1.6</v>
      </c>
      <c r="D32" s="20">
        <v>6.1</v>
      </c>
      <c r="E32" s="20">
        <v>-10.199999999999999</v>
      </c>
      <c r="F32" s="20">
        <f>-2.9-I32-H32-G32</f>
        <v>19.100000000000001</v>
      </c>
      <c r="G32" s="20">
        <v>-10.8</v>
      </c>
      <c r="H32" s="20">
        <v>-14.2</v>
      </c>
      <c r="I32" s="20">
        <v>3</v>
      </c>
      <c r="J32" s="20">
        <f>-2.4-(-3.3)</f>
        <v>0.89999999999999991</v>
      </c>
      <c r="K32" s="20">
        <v>-4.9000000000000004</v>
      </c>
    </row>
    <row r="33" spans="1:11" s="33" customFormat="1">
      <c r="A33" s="20" t="s">
        <v>66</v>
      </c>
      <c r="B33" s="20">
        <v>0</v>
      </c>
      <c r="C33" s="20">
        <v>0</v>
      </c>
      <c r="D33" s="20">
        <v>0</v>
      </c>
      <c r="E33" s="20">
        <v>0</v>
      </c>
      <c r="F33" s="20">
        <v>0</v>
      </c>
      <c r="G33" s="20">
        <v>0</v>
      </c>
      <c r="H33" s="20">
        <v>0</v>
      </c>
      <c r="I33" s="20">
        <v>0</v>
      </c>
      <c r="J33" s="20">
        <v>0</v>
      </c>
      <c r="K33" s="20">
        <v>0</v>
      </c>
    </row>
    <row r="34" spans="1:11" s="33" customFormat="1">
      <c r="A34" s="20" t="s">
        <v>57</v>
      </c>
      <c r="B34" s="29">
        <f>B35-SUM(B29:B33)</f>
        <v>2.6000000000000032</v>
      </c>
      <c r="C34" s="29">
        <f>C35-SUM(C29:C33)</f>
        <v>5.3000000000000025</v>
      </c>
      <c r="D34" s="29">
        <f t="shared" ref="D34:K34" si="6">D35-SUM(D29:D33)</f>
        <v>5.1999999999999993</v>
      </c>
      <c r="E34" s="29">
        <f t="shared" si="6"/>
        <v>7.0999999999999979</v>
      </c>
      <c r="F34" s="29">
        <f t="shared" si="6"/>
        <v>-5.2000000000000028</v>
      </c>
      <c r="G34" s="29">
        <f t="shared" si="6"/>
        <v>-4.6999999999999975</v>
      </c>
      <c r="H34" s="29">
        <f t="shared" si="6"/>
        <v>6.6</v>
      </c>
      <c r="I34" s="29">
        <f t="shared" si="6"/>
        <v>10.6</v>
      </c>
      <c r="J34" s="29">
        <f t="shared" si="6"/>
        <v>-1.8999999999999844</v>
      </c>
      <c r="K34" s="29">
        <f t="shared" si="6"/>
        <v>8.5</v>
      </c>
    </row>
    <row r="35" spans="1:11" s="27" customFormat="1">
      <c r="A35" s="27" t="s">
        <v>67</v>
      </c>
      <c r="B35" s="27">
        <v>14.900000000000006</v>
      </c>
      <c r="C35" s="27">
        <v>17.3</v>
      </c>
      <c r="D35" s="27">
        <v>25</v>
      </c>
      <c r="E35" s="27">
        <v>9.3000000000000007</v>
      </c>
      <c r="F35" s="27">
        <v>30.6</v>
      </c>
      <c r="G35" s="27">
        <v>-1.6</v>
      </c>
      <c r="H35" s="27">
        <v>7.5</v>
      </c>
      <c r="I35" s="27">
        <v>24.9</v>
      </c>
      <c r="J35" s="27">
        <v>12.300000000000011</v>
      </c>
      <c r="K35" s="27">
        <v>19.100000000000001</v>
      </c>
    </row>
    <row r="36" spans="1:11" s="33" customFormat="1">
      <c r="A36" s="20" t="s">
        <v>68</v>
      </c>
      <c r="B36" s="29">
        <v>-11.800000000000004</v>
      </c>
      <c r="C36" s="29">
        <v>-11.6</v>
      </c>
      <c r="D36" s="29">
        <v>-11.5</v>
      </c>
      <c r="E36" s="29">
        <v>-21.3</v>
      </c>
      <c r="F36" s="29">
        <v>-20.9</v>
      </c>
      <c r="G36" s="29">
        <v>-19.7</v>
      </c>
      <c r="H36" s="29">
        <v>-13.4</v>
      </c>
      <c r="I36" s="29">
        <v>-8.9</v>
      </c>
      <c r="J36" s="29">
        <v>-7.7999999999999989</v>
      </c>
      <c r="K36" s="29">
        <v>-6.4</v>
      </c>
    </row>
    <row r="37" spans="1:11" s="27" customFormat="1">
      <c r="A37" s="27" t="s">
        <v>69</v>
      </c>
      <c r="B37" s="27">
        <f>+B35+B36</f>
        <v>3.1000000000000014</v>
      </c>
      <c r="C37" s="27">
        <f>+C35+C36</f>
        <v>5.7000000000000011</v>
      </c>
      <c r="D37" s="27">
        <f>+D35+D36</f>
        <v>13.5</v>
      </c>
      <c r="E37" s="27">
        <f t="shared" ref="E37:K37" si="7">+E35+E36</f>
        <v>-12</v>
      </c>
      <c r="F37" s="27">
        <f t="shared" si="7"/>
        <v>9.7000000000000028</v>
      </c>
      <c r="G37" s="27">
        <f t="shared" si="7"/>
        <v>-21.3</v>
      </c>
      <c r="H37" s="27">
        <f t="shared" si="7"/>
        <v>-5.9</v>
      </c>
      <c r="I37" s="27">
        <f t="shared" si="7"/>
        <v>15.999999999999998</v>
      </c>
      <c r="J37" s="27">
        <f t="shared" si="7"/>
        <v>4.5000000000000124</v>
      </c>
      <c r="K37" s="27">
        <f t="shared" si="7"/>
        <v>12.700000000000001</v>
      </c>
    </row>
    <row r="39" spans="1:11" s="35" customFormat="1">
      <c r="A39" s="34" t="s">
        <v>70</v>
      </c>
      <c r="B39" s="20">
        <v>67.5</v>
      </c>
      <c r="C39" s="20">
        <v>70</v>
      </c>
      <c r="D39" s="20">
        <v>70</v>
      </c>
      <c r="E39" s="20">
        <v>55.8</v>
      </c>
      <c r="F39" s="20">
        <v>42.5</v>
      </c>
      <c r="G39" s="20">
        <v>34.200000000000003</v>
      </c>
      <c r="H39" s="20">
        <v>11.6</v>
      </c>
      <c r="I39" s="20"/>
      <c r="J39" s="20"/>
      <c r="K39" s="20"/>
    </row>
    <row r="40" spans="1:11" s="35" customFormat="1">
      <c r="A40" s="34" t="s">
        <v>71</v>
      </c>
      <c r="B40" s="20">
        <f>729.7-B39</f>
        <v>662.2</v>
      </c>
      <c r="C40" s="20">
        <f>753.9-C39</f>
        <v>683.9</v>
      </c>
      <c r="D40" s="20">
        <f>753.9-D39</f>
        <v>683.9</v>
      </c>
      <c r="E40" s="20">
        <f>764.5-E39</f>
        <v>708.7</v>
      </c>
      <c r="F40" s="20">
        <f>751.2-F39</f>
        <v>708.7</v>
      </c>
      <c r="G40" s="20">
        <f>675.9-G39</f>
        <v>641.69999999999993</v>
      </c>
      <c r="H40" s="20">
        <f>653.3-H39</f>
        <v>641.69999999999993</v>
      </c>
      <c r="I40" s="20"/>
      <c r="J40" s="20"/>
      <c r="K40" s="20"/>
    </row>
    <row r="41" spans="1:11" s="35" customFormat="1">
      <c r="A41" s="34" t="s">
        <v>72</v>
      </c>
      <c r="B41" s="20">
        <v>1232</v>
      </c>
      <c r="C41" s="20">
        <v>1246.6000000000001</v>
      </c>
      <c r="D41" s="20">
        <v>1233.6000000000001</v>
      </c>
      <c r="E41" s="20">
        <v>1234.5</v>
      </c>
      <c r="F41" s="20">
        <v>1208.7</v>
      </c>
      <c r="G41" s="20">
        <v>1111</v>
      </c>
      <c r="H41" s="20">
        <v>1076.9000000000001</v>
      </c>
      <c r="I41" s="20"/>
      <c r="J41" s="20"/>
      <c r="K41" s="20"/>
    </row>
    <row r="42" spans="1:11" s="35" customFormat="1">
      <c r="A42" s="34" t="s">
        <v>73</v>
      </c>
      <c r="B42" s="36">
        <v>0</v>
      </c>
      <c r="C42" s="36">
        <v>0</v>
      </c>
      <c r="D42" s="36">
        <v>0</v>
      </c>
      <c r="E42" s="36">
        <v>0</v>
      </c>
      <c r="F42" s="36">
        <v>0</v>
      </c>
      <c r="G42" s="36">
        <v>0</v>
      </c>
      <c r="H42" s="36">
        <v>0</v>
      </c>
      <c r="I42" s="36"/>
      <c r="J42" s="36"/>
      <c r="K42" s="36"/>
    </row>
    <row r="43" spans="1:11">
      <c r="B43" s="35"/>
      <c r="C43" s="35"/>
      <c r="D43" s="35"/>
      <c r="E43" s="35"/>
      <c r="F43" s="35"/>
    </row>
    <row r="44" spans="1:11">
      <c r="A44" s="19" t="s">
        <v>74</v>
      </c>
      <c r="B44" s="28">
        <v>20.5</v>
      </c>
      <c r="C44" s="28">
        <v>15.5</v>
      </c>
      <c r="D44" s="28">
        <v>12.5</v>
      </c>
      <c r="E44" s="28">
        <v>11.1</v>
      </c>
      <c r="F44" s="28">
        <v>19.2</v>
      </c>
      <c r="G44" s="28">
        <v>16.7</v>
      </c>
      <c r="H44" s="28">
        <v>30.4</v>
      </c>
      <c r="I44" s="28"/>
      <c r="J44" s="28"/>
      <c r="K44" s="28"/>
    </row>
    <row r="46" spans="1:11">
      <c r="A46" s="14" t="s">
        <v>75</v>
      </c>
      <c r="B46" s="33">
        <f t="shared" ref="B46:H46" si="8">SUM(B12:E12)</f>
        <v>721.8</v>
      </c>
      <c r="C46" s="33">
        <f t="shared" si="8"/>
        <v>714.4</v>
      </c>
      <c r="D46" s="33">
        <f t="shared" si="8"/>
        <v>707.2</v>
      </c>
      <c r="E46" s="33">
        <f t="shared" si="8"/>
        <v>683.8</v>
      </c>
      <c r="F46" s="33">
        <f t="shared" si="8"/>
        <v>657.80000000000007</v>
      </c>
      <c r="G46" s="33">
        <f t="shared" si="8"/>
        <v>643.6</v>
      </c>
      <c r="H46" s="33">
        <f t="shared" si="8"/>
        <v>612.40000000000009</v>
      </c>
    </row>
    <row r="47" spans="1:11">
      <c r="A47" s="14" t="s">
        <v>76</v>
      </c>
      <c r="B47" s="33">
        <f>+B27</f>
        <v>101.9</v>
      </c>
      <c r="C47" s="33">
        <f t="shared" ref="C47:H47" si="9">+C27</f>
        <v>99.5</v>
      </c>
      <c r="D47" s="33">
        <f t="shared" si="9"/>
        <v>100.5</v>
      </c>
      <c r="E47" s="33">
        <f t="shared" si="9"/>
        <v>102.89999999999999</v>
      </c>
      <c r="F47" s="33">
        <f t="shared" si="9"/>
        <v>101.8</v>
      </c>
      <c r="G47" s="33">
        <f t="shared" si="9"/>
        <v>97.8</v>
      </c>
      <c r="H47" s="33">
        <f t="shared" si="9"/>
        <v>99.4</v>
      </c>
    </row>
    <row r="48" spans="1:11">
      <c r="A48" s="14" t="s">
        <v>77</v>
      </c>
      <c r="B48" s="33">
        <f t="shared" ref="B48:H48" si="10">+SUM(B37:E37)</f>
        <v>10.300000000000004</v>
      </c>
      <c r="C48" s="33">
        <f t="shared" si="10"/>
        <v>16.900000000000006</v>
      </c>
      <c r="D48" s="33">
        <f t="shared" si="10"/>
        <v>-10.099999999999998</v>
      </c>
      <c r="E48" s="33">
        <f t="shared" si="10"/>
        <v>-29.5</v>
      </c>
      <c r="F48" s="33">
        <f t="shared" si="10"/>
        <v>-1.5000000000000018</v>
      </c>
      <c r="G48" s="33">
        <f t="shared" si="10"/>
        <v>-6.6999999999999922</v>
      </c>
      <c r="H48" s="33">
        <f t="shared" si="10"/>
        <v>27.300000000000011</v>
      </c>
    </row>
    <row r="50" spans="1:11" s="37" customFormat="1">
      <c r="A50" s="37" t="s">
        <v>78</v>
      </c>
      <c r="B50" s="37">
        <f t="shared" ref="B50:H50" si="11">+SUM(B39:B40)/B47</f>
        <v>7.1609421000981355</v>
      </c>
      <c r="C50" s="37">
        <f t="shared" si="11"/>
        <v>7.5768844221105525</v>
      </c>
      <c r="D50" s="37">
        <f t="shared" si="11"/>
        <v>7.5014925373134327</v>
      </c>
      <c r="E50" s="37">
        <f t="shared" si="11"/>
        <v>7.4295432458697768</v>
      </c>
      <c r="F50" s="37">
        <f t="shared" si="11"/>
        <v>7.3791748526522598</v>
      </c>
      <c r="G50" s="37">
        <f t="shared" si="11"/>
        <v>6.9110429447852759</v>
      </c>
      <c r="H50" s="37">
        <f t="shared" si="11"/>
        <v>6.5724346076458744</v>
      </c>
    </row>
    <row r="51" spans="1:11" s="37" customFormat="1">
      <c r="A51" s="37" t="s">
        <v>79</v>
      </c>
      <c r="B51" s="37">
        <f t="shared" ref="B51:H51" si="12">+B41/B47</f>
        <v>12.090284592737978</v>
      </c>
      <c r="C51" s="37">
        <f t="shared" si="12"/>
        <v>12.528643216080404</v>
      </c>
      <c r="D51" s="37">
        <f t="shared" si="12"/>
        <v>12.274626865671642</v>
      </c>
      <c r="E51" s="37">
        <f t="shared" si="12"/>
        <v>11.997084548104958</v>
      </c>
      <c r="F51" s="37">
        <f t="shared" si="12"/>
        <v>11.873280943025541</v>
      </c>
      <c r="G51" s="37">
        <f t="shared" si="12"/>
        <v>11.359918200408998</v>
      </c>
      <c r="H51" s="37">
        <f t="shared" si="12"/>
        <v>10.834004024144869</v>
      </c>
    </row>
    <row r="52" spans="1:11" s="37" customFormat="1">
      <c r="A52" s="37" t="s">
        <v>80</v>
      </c>
      <c r="B52" s="37">
        <f t="shared" ref="B52:H52" si="13">+(B41-B44)/B47</f>
        <v>11.889106967615309</v>
      </c>
      <c r="C52" s="37">
        <f t="shared" si="13"/>
        <v>12.372864321608041</v>
      </c>
      <c r="D52" s="37">
        <f t="shared" si="13"/>
        <v>12.150248756218907</v>
      </c>
      <c r="E52" s="37">
        <f t="shared" si="13"/>
        <v>11.88921282798834</v>
      </c>
      <c r="F52" s="37">
        <f t="shared" si="13"/>
        <v>11.68467583497053</v>
      </c>
      <c r="G52" s="37">
        <f t="shared" si="13"/>
        <v>11.189161554192228</v>
      </c>
      <c r="H52" s="37">
        <f t="shared" si="13"/>
        <v>10.528169014084506</v>
      </c>
    </row>
    <row r="53" spans="1:11" s="38" customFormat="1">
      <c r="A53" s="38" t="s">
        <v>81</v>
      </c>
      <c r="B53" s="38">
        <f>+B48/B41</f>
        <v>8.3603896103896132E-3</v>
      </c>
      <c r="C53" s="38">
        <f t="shared" ref="C53:H53" si="14">+C48/C41</f>
        <v>1.3556874699181777E-2</v>
      </c>
      <c r="D53" s="38">
        <f t="shared" si="14"/>
        <v>-8.1874189364461707E-3</v>
      </c>
      <c r="E53" s="38">
        <f t="shared" si="14"/>
        <v>-2.389631429728635E-2</v>
      </c>
      <c r="F53" s="38">
        <f t="shared" si="14"/>
        <v>-1.2410027302060078E-3</v>
      </c>
      <c r="G53" s="38">
        <f t="shared" si="14"/>
        <v>-6.0306030603060239E-3</v>
      </c>
      <c r="H53" s="38">
        <f t="shared" si="14"/>
        <v>2.5350543225926277E-2</v>
      </c>
    </row>
    <row r="54" spans="1:11" s="38" customFormat="1">
      <c r="A54" s="39" t="s">
        <v>82</v>
      </c>
      <c r="B54" s="40">
        <v>9</v>
      </c>
      <c r="C54" s="40">
        <v>9</v>
      </c>
      <c r="D54" s="40">
        <v>9</v>
      </c>
      <c r="E54" s="40">
        <v>9</v>
      </c>
      <c r="F54" s="40">
        <v>9</v>
      </c>
      <c r="G54" s="40">
        <v>9</v>
      </c>
      <c r="H54" s="40">
        <v>9</v>
      </c>
      <c r="I54" s="39"/>
      <c r="J54" s="39"/>
      <c r="K54" s="39"/>
    </row>
    <row r="55" spans="1:11" s="38" customFormat="1">
      <c r="A55" s="38" t="s">
        <v>83</v>
      </c>
      <c r="B55" s="41" t="str">
        <f>IF(B42=0,IF(B54="","","*"&amp;TEXT(B54,"0.0x")),(B41+B42-B44)/B47)</f>
        <v>*9.0x</v>
      </c>
      <c r="C55" s="41" t="str">
        <f t="shared" ref="C55:H55" si="15">IF(C42=0,IF(C54="","","*"&amp;TEXT(C54,"0.0x")),(C41+C42-C44)/C47)</f>
        <v>*9.0x</v>
      </c>
      <c r="D55" s="41" t="str">
        <f t="shared" si="15"/>
        <v>*9.0x</v>
      </c>
      <c r="E55" s="41" t="str">
        <f t="shared" si="15"/>
        <v>*9.0x</v>
      </c>
      <c r="F55" s="41" t="str">
        <f t="shared" si="15"/>
        <v>*9.0x</v>
      </c>
      <c r="G55" s="41" t="str">
        <f t="shared" si="15"/>
        <v>*9.0x</v>
      </c>
      <c r="H55" s="41" t="str">
        <f t="shared" si="15"/>
        <v>*9.0x</v>
      </c>
      <c r="I55" s="41" t="str">
        <f>IF(I42=0,IF(I54="","",CONCATENATE("* ",I54,"x")),(I41+I42-I44)/I47)</f>
        <v/>
      </c>
      <c r="J55" s="41" t="str">
        <f>IF(J42=0,IF(J54="","",CONCATENATE("* ",J54,"x")),(J41+J42-J44)/J47)</f>
        <v/>
      </c>
      <c r="K55" s="41" t="str">
        <f>IF(K42=0,IF(K54="","",CONCATENATE("* ",K54,"x")),(K41+K42-K44)/K47)</f>
        <v/>
      </c>
    </row>
    <row r="56" spans="1:11">
      <c r="H56" s="42"/>
    </row>
    <row r="57" spans="1:11" ht="80.25" customHeight="1">
      <c r="A57" s="43" t="s">
        <v>84</v>
      </c>
      <c r="B57" s="44" t="s">
        <v>90</v>
      </c>
      <c r="C57" s="44" t="s">
        <v>90</v>
      </c>
      <c r="D57" s="44" t="s">
        <v>90</v>
      </c>
      <c r="E57" s="44"/>
      <c r="F57" s="44"/>
      <c r="G57" s="44"/>
      <c r="H57" s="44"/>
      <c r="I57" s="44"/>
      <c r="J57" s="44"/>
      <c r="K57" s="44"/>
    </row>
    <row r="58" spans="1:11">
      <c r="A58" s="45"/>
      <c r="B58" s="42"/>
      <c r="C58" s="42"/>
      <c r="D58" s="42"/>
    </row>
    <row r="59" spans="1:11">
      <c r="A59" s="4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FF0000"/>
  </sheetPr>
  <dimension ref="A2:J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ColWidth="9.109375" defaultRowHeight="13.8"/>
  <cols>
    <col min="1" max="1" width="22.6640625" style="14" customWidth="1"/>
    <col min="2" max="10" width="10.6640625" style="14" customWidth="1"/>
    <col min="11" max="16384" width="9.109375" style="14"/>
  </cols>
  <sheetData>
    <row r="2" spans="1:10">
      <c r="A2" s="13" t="s">
        <v>44</v>
      </c>
      <c r="B2" s="14" t="s">
        <v>8</v>
      </c>
    </row>
    <row r="3" spans="1:10" s="16" customFormat="1">
      <c r="A3" s="15" t="s">
        <v>45</v>
      </c>
      <c r="B3" s="16" t="s">
        <v>119</v>
      </c>
    </row>
    <row r="4" spans="1:10">
      <c r="A4" s="13" t="s">
        <v>2</v>
      </c>
      <c r="B4" s="14" t="s">
        <v>4</v>
      </c>
    </row>
    <row r="5" spans="1:10">
      <c r="A5" s="13" t="s">
        <v>46</v>
      </c>
    </row>
    <row r="6" spans="1:10">
      <c r="A6" s="13" t="s">
        <v>47</v>
      </c>
    </row>
    <row r="7" spans="1:10">
      <c r="A7" s="13" t="s">
        <v>48</v>
      </c>
      <c r="B7" s="14" t="e">
        <v>#N/A</v>
      </c>
    </row>
    <row r="8" spans="1:10">
      <c r="A8" s="13" t="s">
        <v>347</v>
      </c>
      <c r="B8" s="14" t="e">
        <v>#N/A</v>
      </c>
    </row>
    <row r="9" spans="1:10">
      <c r="A9" s="17"/>
    </row>
    <row r="10" spans="1:10">
      <c r="A10" s="17" t="s">
        <v>49</v>
      </c>
      <c r="B10" s="18">
        <v>43008</v>
      </c>
      <c r="C10" s="18">
        <v>42916</v>
      </c>
      <c r="D10" s="18">
        <v>42825</v>
      </c>
      <c r="E10" s="18">
        <v>42735</v>
      </c>
      <c r="F10" s="18">
        <v>42643</v>
      </c>
      <c r="G10" s="18">
        <v>42551</v>
      </c>
      <c r="H10" s="18">
        <v>42460</v>
      </c>
      <c r="I10" s="18">
        <v>42369</v>
      </c>
      <c r="J10" s="18">
        <v>42277</v>
      </c>
    </row>
    <row r="12" spans="1:10">
      <c r="A12" s="19" t="s">
        <v>50</v>
      </c>
      <c r="B12" s="20">
        <v>595</v>
      </c>
      <c r="C12" s="20">
        <v>580</v>
      </c>
      <c r="D12" s="20">
        <v>499</v>
      </c>
      <c r="E12" s="20">
        <v>469</v>
      </c>
      <c r="F12" s="20">
        <v>434.3</v>
      </c>
      <c r="G12" s="20">
        <v>474.9</v>
      </c>
      <c r="H12" s="20">
        <v>462.1</v>
      </c>
      <c r="I12" s="20">
        <v>478.2</v>
      </c>
      <c r="J12" s="20">
        <v>493</v>
      </c>
    </row>
    <row r="13" spans="1:10" s="21" customFormat="1">
      <c r="A13" s="21" t="s">
        <v>51</v>
      </c>
      <c r="B13" s="21">
        <f>+B12/F12-1</f>
        <v>0.37002072300253275</v>
      </c>
      <c r="C13" s="21">
        <f>+C12/G12-1</f>
        <v>0.22130974942093085</v>
      </c>
      <c r="D13" s="21">
        <f>+D12/H12-1</f>
        <v>7.9852845704392994E-2</v>
      </c>
      <c r="E13" s="21">
        <f>+E12/I12-1</f>
        <v>-1.9238812212463374E-2</v>
      </c>
      <c r="F13" s="21">
        <f>+F12/J12-1</f>
        <v>-0.11906693711967542</v>
      </c>
    </row>
    <row r="14" spans="1:10" s="24" customFormat="1">
      <c r="A14" s="22" t="s">
        <v>52</v>
      </c>
      <c r="B14" s="23" t="s">
        <v>3</v>
      </c>
      <c r="C14" s="23" t="s">
        <v>3</v>
      </c>
      <c r="D14" s="23" t="s">
        <v>3</v>
      </c>
      <c r="E14" s="23" t="s">
        <v>3</v>
      </c>
      <c r="F14" s="23" t="s">
        <v>3</v>
      </c>
      <c r="G14" s="22"/>
      <c r="H14" s="22"/>
      <c r="I14" s="22"/>
      <c r="J14" s="22"/>
    </row>
    <row r="16" spans="1:10" s="17" customFormat="1">
      <c r="A16" s="25" t="s">
        <v>53</v>
      </c>
      <c r="B16" s="26"/>
      <c r="C16" s="26">
        <v>225</v>
      </c>
      <c r="D16" s="26">
        <v>192</v>
      </c>
      <c r="E16" s="26">
        <v>158.4</v>
      </c>
      <c r="F16" s="26">
        <v>150.5</v>
      </c>
      <c r="G16" s="26">
        <v>173.3</v>
      </c>
      <c r="H16" s="26">
        <v>162.1</v>
      </c>
      <c r="I16" s="26">
        <v>170.1</v>
      </c>
      <c r="J16" s="26">
        <v>174.1</v>
      </c>
    </row>
    <row r="17" spans="1:10" s="21" customFormat="1">
      <c r="A17" s="21" t="s">
        <v>54</v>
      </c>
      <c r="B17" s="21">
        <f>+B16/B12</f>
        <v>0</v>
      </c>
      <c r="C17" s="21">
        <f>+C16/C12</f>
        <v>0.38793103448275862</v>
      </c>
      <c r="D17" s="21">
        <f t="shared" ref="D17:J17" si="0">+D16/D12</f>
        <v>0.38476953907815631</v>
      </c>
      <c r="E17" s="21">
        <f t="shared" si="0"/>
        <v>0.33773987206823031</v>
      </c>
      <c r="F17" s="21">
        <f t="shared" si="0"/>
        <v>0.34653465346534651</v>
      </c>
      <c r="G17" s="21">
        <f t="shared" si="0"/>
        <v>0.36491893030111605</v>
      </c>
      <c r="H17" s="21">
        <f t="shared" si="0"/>
        <v>0.3507898723220082</v>
      </c>
      <c r="I17" s="21">
        <f t="shared" si="0"/>
        <v>0.35570890840652447</v>
      </c>
      <c r="J17" s="21">
        <f t="shared" si="0"/>
        <v>0.3531440162271805</v>
      </c>
    </row>
    <row r="18" spans="1:10" s="24" customFormat="1"/>
    <row r="19" spans="1:10" s="24" customFormat="1">
      <c r="A19" s="19" t="s">
        <v>55</v>
      </c>
      <c r="B19" s="20">
        <v>0</v>
      </c>
      <c r="C19" s="20">
        <v>0</v>
      </c>
      <c r="D19" s="20">
        <v>0</v>
      </c>
      <c r="E19" s="20">
        <v>0</v>
      </c>
      <c r="F19" s="20">
        <v>0</v>
      </c>
      <c r="G19" s="20">
        <v>0</v>
      </c>
      <c r="H19" s="20">
        <v>0</v>
      </c>
      <c r="I19" s="20">
        <v>0</v>
      </c>
      <c r="J19" s="20">
        <v>0</v>
      </c>
    </row>
    <row r="20" spans="1:10" s="24" customFormat="1">
      <c r="A20" s="19" t="s">
        <v>56</v>
      </c>
      <c r="B20" s="20">
        <v>0</v>
      </c>
      <c r="C20" s="20">
        <v>0</v>
      </c>
      <c r="D20" s="20">
        <v>0</v>
      </c>
      <c r="E20" s="20">
        <v>0</v>
      </c>
      <c r="F20" s="20">
        <v>0</v>
      </c>
      <c r="G20" s="20">
        <v>0</v>
      </c>
      <c r="H20" s="20">
        <v>0</v>
      </c>
      <c r="I20" s="20">
        <v>0</v>
      </c>
      <c r="J20" s="20">
        <v>0</v>
      </c>
    </row>
    <row r="21" spans="1:10" s="24" customFormat="1">
      <c r="A21" s="19" t="s">
        <v>57</v>
      </c>
      <c r="B21" s="20">
        <v>0</v>
      </c>
      <c r="C21" s="20">
        <v>0</v>
      </c>
      <c r="D21" s="20">
        <v>0</v>
      </c>
      <c r="E21" s="20">
        <v>0</v>
      </c>
      <c r="F21" s="20">
        <v>0</v>
      </c>
      <c r="G21" s="20">
        <v>0</v>
      </c>
      <c r="H21" s="20">
        <v>0</v>
      </c>
      <c r="I21" s="20">
        <v>0</v>
      </c>
      <c r="J21" s="20">
        <v>0</v>
      </c>
    </row>
    <row r="22" spans="1:10" s="17" customFormat="1">
      <c r="A22" s="17" t="s">
        <v>58</v>
      </c>
      <c r="B22" s="27">
        <f>SUM(B16,B19:B21)</f>
        <v>0</v>
      </c>
      <c r="C22" s="27">
        <f>SUM(C16,C19:C21)</f>
        <v>225</v>
      </c>
      <c r="D22" s="27">
        <f t="shared" ref="D22:J22" si="1">SUM(D16,D19:D21)</f>
        <v>192</v>
      </c>
      <c r="E22" s="27">
        <f t="shared" si="1"/>
        <v>158.4</v>
      </c>
      <c r="F22" s="27">
        <f t="shared" si="1"/>
        <v>150.5</v>
      </c>
      <c r="G22" s="27">
        <f t="shared" si="1"/>
        <v>173.3</v>
      </c>
      <c r="H22" s="27">
        <f t="shared" si="1"/>
        <v>162.1</v>
      </c>
      <c r="I22" s="27">
        <f t="shared" si="1"/>
        <v>170.1</v>
      </c>
      <c r="J22" s="27">
        <f t="shared" si="1"/>
        <v>174.1</v>
      </c>
    </row>
    <row r="23" spans="1:10" s="17" customFormat="1">
      <c r="B23" s="27"/>
      <c r="C23" s="27"/>
      <c r="D23" s="27"/>
      <c r="E23" s="27"/>
      <c r="F23" s="27"/>
      <c r="G23" s="27"/>
      <c r="H23" s="27"/>
      <c r="I23" s="27"/>
      <c r="J23" s="27"/>
    </row>
    <row r="24" spans="1:10" s="17" customFormat="1">
      <c r="A24" s="17" t="s">
        <v>59</v>
      </c>
      <c r="B24" s="27">
        <f t="shared" ref="B24:G24" si="2">SUM(B22:E22)</f>
        <v>575.4</v>
      </c>
      <c r="C24" s="27">
        <f t="shared" si="2"/>
        <v>725.9</v>
      </c>
      <c r="D24" s="27">
        <f t="shared" si="2"/>
        <v>674.2</v>
      </c>
      <c r="E24" s="27">
        <f t="shared" si="2"/>
        <v>644.29999999999995</v>
      </c>
      <c r="F24" s="27">
        <f t="shared" si="2"/>
        <v>656</v>
      </c>
      <c r="G24" s="27">
        <f t="shared" si="2"/>
        <v>679.6</v>
      </c>
      <c r="H24" s="27"/>
      <c r="I24" s="27"/>
      <c r="J24" s="27"/>
    </row>
    <row r="25" spans="1:10" s="24" customFormat="1">
      <c r="A25" s="19" t="s">
        <v>60</v>
      </c>
      <c r="B25" s="28">
        <v>0</v>
      </c>
      <c r="C25" s="28">
        <v>0</v>
      </c>
      <c r="D25" s="28">
        <v>0</v>
      </c>
      <c r="E25" s="28">
        <v>0</v>
      </c>
      <c r="F25" s="28">
        <v>0</v>
      </c>
      <c r="G25" s="28">
        <v>0</v>
      </c>
      <c r="H25" s="28"/>
      <c r="I25" s="28"/>
      <c r="J25" s="28"/>
    </row>
    <row r="26" spans="1:10" s="24" customFormat="1">
      <c r="A26" s="19" t="s">
        <v>61</v>
      </c>
      <c r="B26" s="29">
        <v>0</v>
      </c>
      <c r="C26" s="29">
        <v>0</v>
      </c>
      <c r="D26" s="29">
        <v>0</v>
      </c>
      <c r="E26" s="29">
        <v>0</v>
      </c>
      <c r="F26" s="29">
        <v>0</v>
      </c>
      <c r="G26" s="29">
        <v>0</v>
      </c>
      <c r="H26" s="30"/>
      <c r="I26" s="30"/>
      <c r="J26" s="30"/>
    </row>
    <row r="27" spans="1:10" s="32" customFormat="1">
      <c r="A27" s="17" t="s">
        <v>62</v>
      </c>
      <c r="B27" s="27">
        <f t="shared" ref="B27:G27" si="3">SUM(B24:B26)</f>
        <v>575.4</v>
      </c>
      <c r="C27" s="27">
        <f t="shared" si="3"/>
        <v>725.9</v>
      </c>
      <c r="D27" s="27">
        <f t="shared" si="3"/>
        <v>674.2</v>
      </c>
      <c r="E27" s="27">
        <f t="shared" si="3"/>
        <v>644.29999999999995</v>
      </c>
      <c r="F27" s="27">
        <f t="shared" si="3"/>
        <v>656</v>
      </c>
      <c r="G27" s="27">
        <f t="shared" si="3"/>
        <v>679.6</v>
      </c>
      <c r="H27" s="31"/>
      <c r="I27" s="31"/>
      <c r="J27" s="31"/>
    </row>
    <row r="28" spans="1:10" s="24" customFormat="1"/>
    <row r="29" spans="1:10" s="17" customFormat="1">
      <c r="A29" s="17" t="s">
        <v>58</v>
      </c>
      <c r="B29" s="27">
        <f t="shared" ref="B29:J29" si="4">B22</f>
        <v>0</v>
      </c>
      <c r="C29" s="27">
        <f t="shared" si="4"/>
        <v>225</v>
      </c>
      <c r="D29" s="27">
        <f t="shared" si="4"/>
        <v>192</v>
      </c>
      <c r="E29" s="27">
        <f t="shared" si="4"/>
        <v>158.4</v>
      </c>
      <c r="F29" s="27">
        <f t="shared" si="4"/>
        <v>150.5</v>
      </c>
      <c r="G29" s="27">
        <f t="shared" si="4"/>
        <v>173.3</v>
      </c>
      <c r="H29" s="27">
        <f t="shared" si="4"/>
        <v>162.1</v>
      </c>
      <c r="I29" s="27">
        <f t="shared" si="4"/>
        <v>170.1</v>
      </c>
      <c r="J29" s="27">
        <f t="shared" si="4"/>
        <v>174.1</v>
      </c>
    </row>
    <row r="30" spans="1:10" s="33" customFormat="1">
      <c r="A30" s="20" t="s">
        <v>63</v>
      </c>
      <c r="B30" s="20">
        <f>-71-D30-C30</f>
        <v>-16</v>
      </c>
      <c r="C30" s="20">
        <v>-41</v>
      </c>
      <c r="D30" s="20">
        <v>-14</v>
      </c>
      <c r="E30" s="20">
        <v>-14.699999999999996</v>
      </c>
      <c r="F30" s="20">
        <v>-20.5</v>
      </c>
      <c r="G30" s="20">
        <v>-21.5</v>
      </c>
      <c r="H30" s="20">
        <v>-21.6</v>
      </c>
      <c r="I30" s="20">
        <v>-21.699999999999989</v>
      </c>
      <c r="J30" s="20">
        <v>-21.8</v>
      </c>
    </row>
    <row r="31" spans="1:10" s="33" customFormat="1">
      <c r="A31" s="20" t="s">
        <v>64</v>
      </c>
      <c r="B31" s="20">
        <f>-65-D31-C31</f>
        <v>-31</v>
      </c>
      <c r="C31" s="20">
        <v>-31</v>
      </c>
      <c r="D31" s="20">
        <v>-3</v>
      </c>
      <c r="E31" s="20">
        <v>-2.8000000000000007</v>
      </c>
      <c r="F31" s="20">
        <v>-2.4</v>
      </c>
      <c r="G31" s="20">
        <v>-4.3</v>
      </c>
      <c r="H31" s="20">
        <v>-3.3</v>
      </c>
      <c r="I31" s="20">
        <v>-0.20000000000000018</v>
      </c>
      <c r="J31" s="20">
        <v>-1.1000000000000001</v>
      </c>
    </row>
    <row r="32" spans="1:10" s="33" customFormat="1">
      <c r="A32" s="20" t="s">
        <v>65</v>
      </c>
      <c r="B32" s="20">
        <f>-71-28+56+40-D32-C32</f>
        <v>32</v>
      </c>
      <c r="C32" s="20">
        <v>-1</v>
      </c>
      <c r="D32" s="20">
        <v>-34</v>
      </c>
      <c r="E32" s="20">
        <v>47.7</v>
      </c>
      <c r="F32" s="20">
        <v>3.5999999999999979</v>
      </c>
      <c r="G32" s="20">
        <v>25.900000000000006</v>
      </c>
      <c r="H32" s="20">
        <v>-12.500000000000004</v>
      </c>
      <c r="I32" s="20">
        <v>28.899999999999995</v>
      </c>
      <c r="J32" s="20">
        <v>27.1</v>
      </c>
    </row>
    <row r="33" spans="1:10" s="33" customFormat="1">
      <c r="A33" s="20" t="s">
        <v>66</v>
      </c>
      <c r="B33" s="20">
        <v>0</v>
      </c>
      <c r="C33" s="20">
        <v>0</v>
      </c>
      <c r="D33" s="20">
        <v>0</v>
      </c>
      <c r="E33" s="20">
        <v>0</v>
      </c>
      <c r="F33" s="20">
        <v>0</v>
      </c>
      <c r="G33" s="20">
        <v>0</v>
      </c>
      <c r="H33" s="20">
        <v>0</v>
      </c>
      <c r="I33" s="20">
        <v>0</v>
      </c>
      <c r="J33" s="20">
        <v>0</v>
      </c>
    </row>
    <row r="34" spans="1:10" s="33" customFormat="1">
      <c r="A34" s="20" t="s">
        <v>57</v>
      </c>
      <c r="B34" s="29">
        <v>0</v>
      </c>
      <c r="C34" s="29">
        <v>0</v>
      </c>
      <c r="D34" s="29">
        <v>0</v>
      </c>
      <c r="E34" s="29">
        <v>0</v>
      </c>
      <c r="F34" s="29">
        <v>0</v>
      </c>
      <c r="G34" s="29">
        <v>0</v>
      </c>
      <c r="H34" s="29">
        <v>0</v>
      </c>
      <c r="I34" s="29">
        <v>0</v>
      </c>
      <c r="J34" s="29">
        <v>0</v>
      </c>
    </row>
    <row r="35" spans="1:10" s="27" customFormat="1">
      <c r="A35" s="27" t="s">
        <v>67</v>
      </c>
      <c r="B35" s="27">
        <f>492-D35-C35</f>
        <v>215</v>
      </c>
      <c r="C35" s="27">
        <v>166</v>
      </c>
      <c r="D35" s="27">
        <v>111</v>
      </c>
      <c r="E35" s="27">
        <v>175</v>
      </c>
      <c r="F35" s="27">
        <v>127.7</v>
      </c>
      <c r="G35" s="27">
        <v>169.99999999999997</v>
      </c>
      <c r="H35" s="27">
        <v>117.9</v>
      </c>
      <c r="I35" s="27">
        <v>189.89999999999998</v>
      </c>
      <c r="J35" s="27">
        <v>147.30000000000001</v>
      </c>
    </row>
    <row r="36" spans="1:10" s="33" customFormat="1">
      <c r="A36" s="20" t="s">
        <v>68</v>
      </c>
      <c r="B36" s="29">
        <f>-40-D36-C36</f>
        <v>-20</v>
      </c>
      <c r="C36" s="29">
        <v>-12</v>
      </c>
      <c r="D36" s="29">
        <v>-8</v>
      </c>
      <c r="E36" s="29">
        <v>-33.899999999999991</v>
      </c>
      <c r="F36" s="29">
        <v>-14.100000000000001</v>
      </c>
      <c r="G36" s="29">
        <v>-16.600000000000001</v>
      </c>
      <c r="H36" s="29">
        <v>-6</v>
      </c>
      <c r="I36" s="29">
        <v>-28.200000000000003</v>
      </c>
      <c r="J36" s="29">
        <v>-15</v>
      </c>
    </row>
    <row r="37" spans="1:10" s="27" customFormat="1">
      <c r="A37" s="27" t="s">
        <v>69</v>
      </c>
      <c r="B37" s="27">
        <f>+B35+B36</f>
        <v>195</v>
      </c>
      <c r="C37" s="27">
        <f>+C35+C36</f>
        <v>154</v>
      </c>
      <c r="D37" s="27">
        <f t="shared" ref="D37:J37" si="5">+D35+D36</f>
        <v>103</v>
      </c>
      <c r="E37" s="27">
        <f t="shared" si="5"/>
        <v>141.10000000000002</v>
      </c>
      <c r="F37" s="27">
        <f t="shared" si="5"/>
        <v>113.6</v>
      </c>
      <c r="G37" s="27">
        <f t="shared" si="5"/>
        <v>153.39999999999998</v>
      </c>
      <c r="H37" s="27">
        <f t="shared" si="5"/>
        <v>111.9</v>
      </c>
      <c r="I37" s="27">
        <f t="shared" si="5"/>
        <v>161.69999999999999</v>
      </c>
      <c r="J37" s="27">
        <f t="shared" si="5"/>
        <v>132.30000000000001</v>
      </c>
    </row>
    <row r="39" spans="1:10" s="35" customFormat="1">
      <c r="A39" s="34" t="s">
        <v>70</v>
      </c>
      <c r="B39" s="20">
        <v>0</v>
      </c>
      <c r="C39" s="20">
        <v>205</v>
      </c>
      <c r="D39" s="20">
        <v>245</v>
      </c>
      <c r="E39" s="20">
        <v>0</v>
      </c>
      <c r="F39" s="20">
        <v>0</v>
      </c>
      <c r="G39" s="20">
        <v>0</v>
      </c>
      <c r="H39" s="20"/>
      <c r="I39" s="20"/>
      <c r="J39" s="20"/>
    </row>
    <row r="40" spans="1:10" s="35" customFormat="1">
      <c r="A40" s="34" t="s">
        <v>71</v>
      </c>
      <c r="B40" s="20">
        <v>1179</v>
      </c>
      <c r="C40" s="20">
        <f>1387-C39</f>
        <v>1182</v>
      </c>
      <c r="D40" s="20">
        <f>1430-D39</f>
        <v>1185</v>
      </c>
      <c r="E40" s="20">
        <f>1190.6-E39</f>
        <v>1190.5999999999999</v>
      </c>
      <c r="F40" s="20">
        <f>1190.6-F39</f>
        <v>1190.5999999999999</v>
      </c>
      <c r="G40" s="20">
        <f>2415.1-G39</f>
        <v>2415.1</v>
      </c>
      <c r="H40" s="20"/>
      <c r="I40" s="20"/>
      <c r="J40" s="20"/>
    </row>
    <row r="41" spans="1:10" s="35" customFormat="1">
      <c r="A41" s="34" t="s">
        <v>72</v>
      </c>
      <c r="B41" s="20">
        <f>B39+B40+1000+400</f>
        <v>2579</v>
      </c>
      <c r="C41" s="20">
        <v>2387</v>
      </c>
      <c r="D41" s="20">
        <v>2430</v>
      </c>
      <c r="E41" s="20">
        <v>2190.6</v>
      </c>
      <c r="F41" s="20">
        <v>2190.6</v>
      </c>
      <c r="G41" s="20">
        <v>2415.1</v>
      </c>
      <c r="H41" s="20"/>
      <c r="I41" s="20"/>
      <c r="J41" s="20"/>
    </row>
    <row r="42" spans="1:10" s="35" customFormat="1">
      <c r="A42" s="34" t="s">
        <v>73</v>
      </c>
      <c r="B42" s="36">
        <f>141760746/1000000*43.57</f>
        <v>6176.5157032200004</v>
      </c>
      <c r="C42" s="36">
        <f>148810561/1000000*36.99</f>
        <v>5504.5026513900002</v>
      </c>
      <c r="D42" s="36">
        <f>152015688/1000000*34.13</f>
        <v>5188.2954314400004</v>
      </c>
      <c r="E42" s="36">
        <f>162611552/1000000*37.06</f>
        <v>6026.3841171200002</v>
      </c>
      <c r="F42" s="36">
        <f>165384097/1000000*27.71</f>
        <v>4582.7933278700002</v>
      </c>
      <c r="G42" s="36">
        <f>167539470/1000000*29.11</f>
        <v>4877.0739716999997</v>
      </c>
      <c r="H42" s="36"/>
      <c r="I42" s="36"/>
      <c r="J42" s="36"/>
    </row>
    <row r="43" spans="1:10">
      <c r="B43" s="35"/>
      <c r="C43" s="35"/>
      <c r="D43" s="35"/>
      <c r="E43" s="35"/>
    </row>
    <row r="44" spans="1:10">
      <c r="A44" s="19" t="s">
        <v>74</v>
      </c>
      <c r="B44" s="28">
        <v>210</v>
      </c>
      <c r="C44" s="28">
        <v>85</v>
      </c>
      <c r="D44" s="28">
        <v>120</v>
      </c>
      <c r="E44" s="28">
        <v>204.7</v>
      </c>
      <c r="F44" s="28">
        <v>164.7</v>
      </c>
      <c r="G44" s="28">
        <v>364.4</v>
      </c>
      <c r="H44" s="28"/>
      <c r="I44" s="28"/>
      <c r="J44" s="28"/>
    </row>
    <row r="46" spans="1:10">
      <c r="A46" s="14" t="s">
        <v>75</v>
      </c>
      <c r="B46" s="33">
        <f t="shared" ref="B46:G46" si="6">SUM(B12:E12)</f>
        <v>2143</v>
      </c>
      <c r="C46" s="33">
        <f t="shared" si="6"/>
        <v>1982.3</v>
      </c>
      <c r="D46" s="33">
        <f t="shared" si="6"/>
        <v>1877.1999999999998</v>
      </c>
      <c r="E46" s="33">
        <f t="shared" si="6"/>
        <v>1840.2999999999997</v>
      </c>
      <c r="F46" s="33">
        <f t="shared" si="6"/>
        <v>1849.5000000000002</v>
      </c>
      <c r="G46" s="33">
        <f t="shared" si="6"/>
        <v>1908.2</v>
      </c>
    </row>
    <row r="47" spans="1:10">
      <c r="A47" s="14" t="s">
        <v>76</v>
      </c>
      <c r="B47" s="33">
        <f t="shared" ref="B47:G47" si="7">+B27</f>
        <v>575.4</v>
      </c>
      <c r="C47" s="33">
        <f t="shared" si="7"/>
        <v>725.9</v>
      </c>
      <c r="D47" s="33">
        <f t="shared" si="7"/>
        <v>674.2</v>
      </c>
      <c r="E47" s="33">
        <f t="shared" si="7"/>
        <v>644.29999999999995</v>
      </c>
      <c r="F47" s="33">
        <f t="shared" si="7"/>
        <v>656</v>
      </c>
      <c r="G47" s="33">
        <f t="shared" si="7"/>
        <v>679.6</v>
      </c>
    </row>
    <row r="48" spans="1:10">
      <c r="A48" s="14" t="s">
        <v>77</v>
      </c>
      <c r="B48" s="33">
        <f t="shared" ref="B48:G48" si="8">+SUM(B37:E37)</f>
        <v>593.1</v>
      </c>
      <c r="C48" s="33">
        <f t="shared" si="8"/>
        <v>511.70000000000005</v>
      </c>
      <c r="D48" s="33">
        <f t="shared" si="8"/>
        <v>511.1</v>
      </c>
      <c r="E48" s="33">
        <f t="shared" si="8"/>
        <v>520</v>
      </c>
      <c r="F48" s="33">
        <f t="shared" si="8"/>
        <v>540.59999999999991</v>
      </c>
      <c r="G48" s="33">
        <f t="shared" si="8"/>
        <v>559.29999999999995</v>
      </c>
    </row>
    <row r="50" spans="1:10" s="37" customFormat="1">
      <c r="A50" s="37" t="s">
        <v>78</v>
      </c>
      <c r="B50" s="37">
        <f t="shared" ref="B50:G50" si="9">+SUM(B39:B40)/B47</f>
        <v>2.0490093847758084</v>
      </c>
      <c r="C50" s="37">
        <f t="shared" si="9"/>
        <v>1.9107315057170409</v>
      </c>
      <c r="D50" s="37">
        <f t="shared" si="9"/>
        <v>2.1210323346188074</v>
      </c>
      <c r="E50" s="37">
        <f t="shared" si="9"/>
        <v>1.8478969424181282</v>
      </c>
      <c r="F50" s="37">
        <f t="shared" si="9"/>
        <v>1.8149390243902437</v>
      </c>
      <c r="G50" s="37">
        <f t="shared" si="9"/>
        <v>3.5537080635668037</v>
      </c>
    </row>
    <row r="51" spans="1:10" s="37" customFormat="1">
      <c r="A51" s="37" t="s">
        <v>79</v>
      </c>
      <c r="B51" s="37">
        <f t="shared" ref="B51:G51" si="10">+B41/B47</f>
        <v>4.4820994091067083</v>
      </c>
      <c r="C51" s="37">
        <f t="shared" si="10"/>
        <v>3.2883317261330762</v>
      </c>
      <c r="D51" s="37">
        <f t="shared" si="10"/>
        <v>3.604271729457134</v>
      </c>
      <c r="E51" s="37">
        <f t="shared" si="10"/>
        <v>3.3999689585596773</v>
      </c>
      <c r="F51" s="37">
        <f t="shared" si="10"/>
        <v>3.339329268292683</v>
      </c>
      <c r="G51" s="37">
        <f t="shared" si="10"/>
        <v>3.5537080635668037</v>
      </c>
    </row>
    <row r="52" spans="1:10" s="37" customFormat="1">
      <c r="A52" s="37" t="s">
        <v>80</v>
      </c>
      <c r="B52" s="37">
        <f t="shared" ref="B52:G52" si="11">+(B41-B44)/B47</f>
        <v>4.1171359054570731</v>
      </c>
      <c r="C52" s="37">
        <f t="shared" si="11"/>
        <v>3.1712357073977131</v>
      </c>
      <c r="D52" s="37">
        <f t="shared" si="11"/>
        <v>3.4262830020765351</v>
      </c>
      <c r="E52" s="37">
        <f t="shared" si="11"/>
        <v>3.082259816855502</v>
      </c>
      <c r="F52" s="37">
        <f t="shared" si="11"/>
        <v>3.0882621951219509</v>
      </c>
      <c r="G52" s="37">
        <f t="shared" si="11"/>
        <v>3.017510300176574</v>
      </c>
    </row>
    <row r="53" spans="1:10" s="38" customFormat="1">
      <c r="A53" s="38" t="s">
        <v>81</v>
      </c>
      <c r="B53" s="38">
        <f t="shared" ref="B53:G53" si="12">+B48/B41</f>
        <v>0.22997285769678172</v>
      </c>
      <c r="C53" s="38">
        <f t="shared" si="12"/>
        <v>0.21436950146627567</v>
      </c>
      <c r="D53" s="38">
        <f t="shared" si="12"/>
        <v>0.2103292181069959</v>
      </c>
      <c r="E53" s="38">
        <f t="shared" si="12"/>
        <v>0.23737788733680271</v>
      </c>
      <c r="F53" s="38">
        <f t="shared" si="12"/>
        <v>0.24678170364283755</v>
      </c>
      <c r="G53" s="38">
        <f t="shared" si="12"/>
        <v>0.23158461347356216</v>
      </c>
    </row>
    <row r="54" spans="1:10" s="38" customFormat="1">
      <c r="A54" s="39" t="s">
        <v>82</v>
      </c>
      <c r="B54" s="40"/>
      <c r="C54" s="40"/>
      <c r="D54" s="40"/>
      <c r="E54" s="40"/>
      <c r="F54" s="40"/>
      <c r="G54" s="40"/>
      <c r="H54" s="39"/>
      <c r="I54" s="39"/>
      <c r="J54" s="39"/>
    </row>
    <row r="55" spans="1:10" s="38" customFormat="1">
      <c r="A55" s="38" t="s">
        <v>83</v>
      </c>
      <c r="B55" s="41">
        <f t="shared" ref="B55:G55" si="13">IF(B42=0,IF(B54="","","*"&amp;TEXT(B54,"0.0x")),(B41+B42-B44)/B47)</f>
        <v>14.851435007334031</v>
      </c>
      <c r="C55" s="41">
        <f t="shared" si="13"/>
        <v>10.754239773233229</v>
      </c>
      <c r="D55" s="41">
        <f t="shared" si="13"/>
        <v>11.121767178048056</v>
      </c>
      <c r="E55" s="41">
        <f t="shared" si="13"/>
        <v>12.435641963557352</v>
      </c>
      <c r="F55" s="41">
        <f t="shared" si="13"/>
        <v>10.074227633948173</v>
      </c>
      <c r="G55" s="41">
        <f t="shared" si="13"/>
        <v>10.193899310918187</v>
      </c>
      <c r="H55" s="41" t="str">
        <f>IF(H42=0,IF(H54="","",CONCATENATE("* ",H54,"x")),(H41+H42-H44)/H47)</f>
        <v/>
      </c>
      <c r="I55" s="41" t="str">
        <f>IF(I42=0,IF(I54="","",CONCATENATE("* ",I54,"x")),(I41+I42-I44)/I47)</f>
        <v/>
      </c>
      <c r="J55" s="41" t="str">
        <f>IF(J42=0,IF(J54="","",CONCATENATE("* ",J54,"x")),(J41+J42-J44)/J47)</f>
        <v/>
      </c>
    </row>
    <row r="56" spans="1:10">
      <c r="G56" s="42"/>
    </row>
    <row r="57" spans="1:10" ht="80.25" customHeight="1">
      <c r="A57" s="43" t="s">
        <v>84</v>
      </c>
      <c r="B57" s="44"/>
      <c r="C57" s="44"/>
      <c r="D57" s="44"/>
      <c r="E57" s="44"/>
      <c r="F57" s="44"/>
      <c r="G57" s="44"/>
      <c r="H57" s="44"/>
      <c r="I57" s="44"/>
      <c r="J57" s="44"/>
    </row>
    <row r="58" spans="1:10">
      <c r="A58" s="45"/>
      <c r="B58" s="42"/>
      <c r="C58" s="42"/>
    </row>
    <row r="59" spans="1:10">
      <c r="A59" s="45"/>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FF0000"/>
  </sheetPr>
  <dimension ref="A2:K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ColWidth="9.109375" defaultRowHeight="13.8"/>
  <cols>
    <col min="1" max="1" width="22.6640625" style="14" customWidth="1"/>
    <col min="2" max="10" width="10.6640625" style="14" customWidth="1"/>
    <col min="11" max="16384" width="9.109375" style="14"/>
  </cols>
  <sheetData>
    <row r="2" spans="1:11">
      <c r="A2" s="13" t="s">
        <v>44</v>
      </c>
      <c r="B2" s="14" t="s">
        <v>7</v>
      </c>
    </row>
    <row r="3" spans="1:11" s="16" customFormat="1">
      <c r="A3" s="15" t="s">
        <v>45</v>
      </c>
      <c r="B3" s="16" t="s">
        <v>118</v>
      </c>
    </row>
    <row r="4" spans="1:11">
      <c r="A4" s="13" t="s">
        <v>2</v>
      </c>
      <c r="B4" s="14" t="s">
        <v>4</v>
      </c>
    </row>
    <row r="5" spans="1:11">
      <c r="A5" s="13" t="s">
        <v>46</v>
      </c>
    </row>
    <row r="6" spans="1:11">
      <c r="A6" s="13" t="s">
        <v>47</v>
      </c>
    </row>
    <row r="7" spans="1:11">
      <c r="A7" s="13" t="s">
        <v>48</v>
      </c>
      <c r="B7" s="14" t="e">
        <v>#N/A</v>
      </c>
    </row>
    <row r="8" spans="1:11">
      <c r="A8" s="13" t="s">
        <v>347</v>
      </c>
      <c r="B8" s="14" t="e">
        <v>#N/A</v>
      </c>
    </row>
    <row r="9" spans="1:11">
      <c r="A9" s="17"/>
      <c r="F9" s="49" t="s">
        <v>94</v>
      </c>
      <c r="G9" s="49" t="s">
        <v>94</v>
      </c>
      <c r="H9" s="49" t="s">
        <v>94</v>
      </c>
      <c r="I9" s="49" t="s">
        <v>94</v>
      </c>
      <c r="J9" s="49" t="s">
        <v>94</v>
      </c>
    </row>
    <row r="10" spans="1:11">
      <c r="A10" s="17" t="s">
        <v>49</v>
      </c>
      <c r="B10" s="18">
        <v>43008</v>
      </c>
      <c r="C10" s="18">
        <v>42916</v>
      </c>
      <c r="D10" s="18">
        <v>42825</v>
      </c>
      <c r="E10" s="18">
        <v>42735</v>
      </c>
      <c r="F10" s="18">
        <v>42643</v>
      </c>
      <c r="G10" s="18">
        <v>42551</v>
      </c>
      <c r="H10" s="18">
        <v>42460</v>
      </c>
      <c r="I10" s="18">
        <v>42369</v>
      </c>
      <c r="J10" s="18">
        <v>42277</v>
      </c>
    </row>
    <row r="12" spans="1:11">
      <c r="A12" s="19" t="s">
        <v>50</v>
      </c>
      <c r="B12" s="20">
        <v>165.40700000000001</v>
      </c>
      <c r="C12" s="20">
        <v>130.80600000000001</v>
      </c>
      <c r="D12" s="20">
        <v>107.72799999999999</v>
      </c>
      <c r="E12" s="20">
        <v>88.451999999999998</v>
      </c>
      <c r="F12" s="20">
        <v>143.614</v>
      </c>
      <c r="G12" s="20">
        <v>101.681</v>
      </c>
      <c r="H12" s="20">
        <v>106.048</v>
      </c>
      <c r="I12" s="20">
        <v>114.681</v>
      </c>
      <c r="J12" s="20">
        <v>143.17500000000001</v>
      </c>
      <c r="K12" s="48"/>
    </row>
    <row r="13" spans="1:11" s="21" customFormat="1">
      <c r="A13" s="21" t="s">
        <v>51</v>
      </c>
      <c r="B13" s="21">
        <f>+B12/F12-1</f>
        <v>0.15174704416004015</v>
      </c>
      <c r="C13" s="21">
        <f>+C12/G12-1</f>
        <v>0.28643502719288771</v>
      </c>
      <c r="D13" s="21">
        <f>+D12/H12-1</f>
        <v>1.5841882920941464E-2</v>
      </c>
      <c r="E13" s="21">
        <f>+E12/I12-1</f>
        <v>-0.22871268998351946</v>
      </c>
      <c r="F13" s="21">
        <f>+F12/J12-1</f>
        <v>3.0661777544962465E-3</v>
      </c>
    </row>
    <row r="14" spans="1:11" s="24" customFormat="1">
      <c r="A14" s="22" t="s">
        <v>52</v>
      </c>
      <c r="B14" s="23" t="s">
        <v>3</v>
      </c>
      <c r="C14" s="23" t="s">
        <v>3</v>
      </c>
      <c r="D14" s="23" t="s">
        <v>3</v>
      </c>
      <c r="E14" s="23" t="s">
        <v>3</v>
      </c>
      <c r="F14" s="23" t="s">
        <v>3</v>
      </c>
      <c r="G14" s="22"/>
      <c r="H14" s="22"/>
      <c r="I14" s="22"/>
      <c r="J14" s="22"/>
    </row>
    <row r="16" spans="1:11" s="17" customFormat="1">
      <c r="A16" s="25" t="s">
        <v>53</v>
      </c>
      <c r="B16" s="26">
        <f>B22-B21-B20-B19</f>
        <v>27.601999999999997</v>
      </c>
      <c r="C16" s="26">
        <f t="shared" ref="C16:J16" si="0">C22-C21-C20-C19</f>
        <v>19.335999999999999</v>
      </c>
      <c r="D16" s="26">
        <f t="shared" si="0"/>
        <v>14.220999999999998</v>
      </c>
      <c r="E16" s="26">
        <f t="shared" si="0"/>
        <v>4.8579999999999997</v>
      </c>
      <c r="F16" s="26">
        <f t="shared" si="0"/>
        <v>46.012999999999998</v>
      </c>
      <c r="G16" s="26">
        <f t="shared" si="0"/>
        <v>9.7100000000000009</v>
      </c>
      <c r="H16" s="26">
        <f t="shared" si="0"/>
        <v>13.811</v>
      </c>
      <c r="I16" s="26">
        <f t="shared" si="0"/>
        <v>13.013999999999999</v>
      </c>
      <c r="J16" s="26">
        <f t="shared" si="0"/>
        <v>24.658000000000001</v>
      </c>
    </row>
    <row r="17" spans="1:10" s="21" customFormat="1">
      <c r="A17" s="21" t="s">
        <v>54</v>
      </c>
      <c r="B17" s="21">
        <f>+B16/B12</f>
        <v>0.16687322785613665</v>
      </c>
      <c r="C17" s="21">
        <f>+C16/C12</f>
        <v>0.14782196535327125</v>
      </c>
      <c r="D17" s="21">
        <f t="shared" ref="D17:J17" si="1">+D16/D12</f>
        <v>0.13200839150452992</v>
      </c>
      <c r="E17" s="21">
        <f t="shared" si="1"/>
        <v>5.4922443811332697E-2</v>
      </c>
      <c r="F17" s="21">
        <f t="shared" si="1"/>
        <v>0.32039355494589661</v>
      </c>
      <c r="G17" s="21">
        <f t="shared" si="1"/>
        <v>9.5494733529371281E-2</v>
      </c>
      <c r="H17" s="21">
        <f t="shared" si="1"/>
        <v>0.13023347917923958</v>
      </c>
      <c r="I17" s="21">
        <f t="shared" si="1"/>
        <v>0.11348000104638083</v>
      </c>
      <c r="J17" s="21">
        <f t="shared" si="1"/>
        <v>0.17222280426052033</v>
      </c>
    </row>
    <row r="18" spans="1:10" s="24" customFormat="1"/>
    <row r="19" spans="1:10" s="24" customFormat="1">
      <c r="A19" s="19" t="s">
        <v>55</v>
      </c>
      <c r="B19" s="20">
        <v>0</v>
      </c>
      <c r="C19" s="20">
        <v>0</v>
      </c>
      <c r="D19" s="20">
        <v>0</v>
      </c>
      <c r="E19" s="20">
        <v>0</v>
      </c>
      <c r="F19" s="20">
        <v>0</v>
      </c>
      <c r="G19" s="20">
        <v>0</v>
      </c>
      <c r="H19" s="20">
        <v>0</v>
      </c>
      <c r="I19" s="20">
        <v>0</v>
      </c>
      <c r="J19" s="20">
        <v>0</v>
      </c>
    </row>
    <row r="20" spans="1:10" s="24" customFormat="1">
      <c r="A20" s="19" t="s">
        <v>56</v>
      </c>
      <c r="B20" s="20">
        <v>0</v>
      </c>
      <c r="C20" s="20">
        <v>0</v>
      </c>
      <c r="D20" s="20">
        <v>0</v>
      </c>
      <c r="E20" s="20">
        <v>0</v>
      </c>
      <c r="F20" s="20">
        <v>0</v>
      </c>
      <c r="G20" s="20">
        <v>0</v>
      </c>
      <c r="H20" s="20">
        <v>0</v>
      </c>
      <c r="I20" s="20">
        <v>0</v>
      </c>
      <c r="J20" s="20">
        <v>0</v>
      </c>
    </row>
    <row r="21" spans="1:10" s="24" customFormat="1">
      <c r="A21" s="19" t="s">
        <v>57</v>
      </c>
      <c r="B21" s="20">
        <f>0.043+0.484+14.442</f>
        <v>14.968999999999999</v>
      </c>
      <c r="C21" s="20">
        <f>0.45+4.48</f>
        <v>4.9300000000000006</v>
      </c>
      <c r="D21" s="20">
        <f>3.397+0.181-0.021</f>
        <v>3.5569999999999999</v>
      </c>
      <c r="E21" s="20">
        <f>0.123+0.163+1.856</f>
        <v>2.1420000000000003</v>
      </c>
      <c r="F21" s="20">
        <f>1.273+0.99-11.833</f>
        <v>-9.57</v>
      </c>
      <c r="G21" s="20">
        <f>2.23+0.469+0.167</f>
        <v>2.8659999999999997</v>
      </c>
      <c r="H21" s="20">
        <f>1.759+0.4+1.044</f>
        <v>3.2029999999999998</v>
      </c>
      <c r="I21" s="20">
        <f>6.611+0.003+0.494</f>
        <v>7.1079999999999997</v>
      </c>
      <c r="J21" s="20">
        <f>2.476+0.662-0.279</f>
        <v>2.859</v>
      </c>
    </row>
    <row r="22" spans="1:10" s="17" customFormat="1">
      <c r="A22" s="17" t="s">
        <v>58</v>
      </c>
      <c r="B22" s="27">
        <v>42.570999999999998</v>
      </c>
      <c r="C22" s="27">
        <v>24.265999999999998</v>
      </c>
      <c r="D22" s="27">
        <v>17.777999999999999</v>
      </c>
      <c r="E22" s="27">
        <v>7</v>
      </c>
      <c r="F22" s="27">
        <v>36.442999999999998</v>
      </c>
      <c r="G22" s="27">
        <v>12.576000000000001</v>
      </c>
      <c r="H22" s="27">
        <v>17.013999999999999</v>
      </c>
      <c r="I22" s="27">
        <v>20.122</v>
      </c>
      <c r="J22" s="27">
        <v>27.516999999999999</v>
      </c>
    </row>
    <row r="23" spans="1:10" s="17" customFormat="1">
      <c r="B23" s="27"/>
      <c r="C23" s="27"/>
      <c r="D23" s="27"/>
      <c r="E23" s="27"/>
      <c r="F23" s="27"/>
      <c r="G23" s="27"/>
      <c r="H23" s="27"/>
      <c r="I23" s="27"/>
      <c r="J23" s="27"/>
    </row>
    <row r="24" spans="1:10" s="17" customFormat="1">
      <c r="A24" s="17" t="s">
        <v>59</v>
      </c>
      <c r="B24" s="27">
        <f t="shared" ref="B24:G24" si="2">SUM(B22:E22)</f>
        <v>91.614999999999981</v>
      </c>
      <c r="C24" s="27">
        <f t="shared" si="2"/>
        <v>85.486999999999995</v>
      </c>
      <c r="D24" s="27">
        <f t="shared" si="2"/>
        <v>73.796999999999997</v>
      </c>
      <c r="E24" s="27">
        <f t="shared" si="2"/>
        <v>73.033000000000001</v>
      </c>
      <c r="F24" s="27">
        <f t="shared" si="2"/>
        <v>86.155000000000001</v>
      </c>
      <c r="G24" s="27">
        <f t="shared" si="2"/>
        <v>77.228999999999999</v>
      </c>
      <c r="H24" s="27"/>
      <c r="I24" s="27"/>
      <c r="J24" s="27"/>
    </row>
    <row r="25" spans="1:10" s="24" customFormat="1">
      <c r="A25" s="19" t="s">
        <v>60</v>
      </c>
      <c r="B25" s="28">
        <v>0</v>
      </c>
      <c r="C25" s="28">
        <v>0</v>
      </c>
      <c r="D25" s="28">
        <v>0</v>
      </c>
      <c r="E25" s="28">
        <v>0</v>
      </c>
      <c r="F25" s="28">
        <v>0</v>
      </c>
      <c r="G25" s="28">
        <v>0</v>
      </c>
      <c r="H25" s="28"/>
      <c r="I25" s="28"/>
      <c r="J25" s="28"/>
    </row>
    <row r="26" spans="1:10" s="24" customFormat="1">
      <c r="A26" s="19" t="s">
        <v>61</v>
      </c>
      <c r="B26" s="29">
        <v>0</v>
      </c>
      <c r="C26" s="29">
        <v>0</v>
      </c>
      <c r="D26" s="29">
        <v>0</v>
      </c>
      <c r="E26" s="29">
        <v>0</v>
      </c>
      <c r="F26" s="29">
        <v>0</v>
      </c>
      <c r="G26" s="29">
        <v>0</v>
      </c>
      <c r="H26" s="30"/>
      <c r="I26" s="30"/>
      <c r="J26" s="30"/>
    </row>
    <row r="27" spans="1:10" s="32" customFormat="1">
      <c r="A27" s="17" t="s">
        <v>62</v>
      </c>
      <c r="B27" s="27">
        <f t="shared" ref="B27:G27" si="3">SUM(B24:B26)</f>
        <v>91.614999999999981</v>
      </c>
      <c r="C27" s="27">
        <f t="shared" si="3"/>
        <v>85.486999999999995</v>
      </c>
      <c r="D27" s="27">
        <f t="shared" si="3"/>
        <v>73.796999999999997</v>
      </c>
      <c r="E27" s="27">
        <f t="shared" si="3"/>
        <v>73.033000000000001</v>
      </c>
      <c r="F27" s="27">
        <f t="shared" si="3"/>
        <v>86.155000000000001</v>
      </c>
      <c r="G27" s="27">
        <f t="shared" si="3"/>
        <v>77.228999999999999</v>
      </c>
      <c r="H27" s="31"/>
      <c r="I27" s="31"/>
      <c r="J27" s="31"/>
    </row>
    <row r="28" spans="1:10" s="24" customFormat="1"/>
    <row r="29" spans="1:10" s="17" customFormat="1">
      <c r="A29" s="17" t="s">
        <v>58</v>
      </c>
      <c r="B29" s="27">
        <f t="shared" ref="B29:J29" si="4">B22</f>
        <v>42.570999999999998</v>
      </c>
      <c r="C29" s="27">
        <f t="shared" si="4"/>
        <v>24.265999999999998</v>
      </c>
      <c r="D29" s="27">
        <f t="shared" si="4"/>
        <v>17.777999999999999</v>
      </c>
      <c r="E29" s="27">
        <f t="shared" si="4"/>
        <v>7</v>
      </c>
      <c r="F29" s="27">
        <f t="shared" si="4"/>
        <v>36.442999999999998</v>
      </c>
      <c r="G29" s="27">
        <f t="shared" si="4"/>
        <v>12.576000000000001</v>
      </c>
      <c r="H29" s="27">
        <f t="shared" si="4"/>
        <v>17.013999999999999</v>
      </c>
      <c r="I29" s="27">
        <f t="shared" si="4"/>
        <v>20.122</v>
      </c>
      <c r="J29" s="27">
        <f t="shared" si="4"/>
        <v>27.516999999999999</v>
      </c>
    </row>
    <row r="30" spans="1:10" s="33" customFormat="1">
      <c r="A30" s="20" t="s">
        <v>63</v>
      </c>
      <c r="B30" s="20">
        <f>-26.497-E30-D30-C30</f>
        <v>-4.9579999999999993</v>
      </c>
      <c r="C30" s="20">
        <v>-7.5209999999999999</v>
      </c>
      <c r="D30" s="20">
        <v>-6.6660000000000004</v>
      </c>
      <c r="E30" s="20">
        <v>-7.3520000000000003</v>
      </c>
      <c r="F30" s="20">
        <f>-23.482-I30-H30-G30</f>
        <v>-6.2359999999999971</v>
      </c>
      <c r="G30" s="20">
        <v>-7.32</v>
      </c>
      <c r="H30" s="20">
        <v>-6.7969999999999997</v>
      </c>
      <c r="I30" s="20">
        <v>-3.129</v>
      </c>
      <c r="J30" s="20"/>
    </row>
    <row r="31" spans="1:10" s="33" customFormat="1">
      <c r="A31" s="20" t="s">
        <v>64</v>
      </c>
      <c r="B31" s="20">
        <v>0</v>
      </c>
      <c r="C31" s="20">
        <v>0</v>
      </c>
      <c r="D31" s="20">
        <v>0</v>
      </c>
      <c r="E31" s="20">
        <v>0</v>
      </c>
      <c r="F31" s="20">
        <v>0</v>
      </c>
      <c r="G31" s="20">
        <v>0</v>
      </c>
      <c r="H31" s="20">
        <v>0</v>
      </c>
      <c r="I31" s="20">
        <v>0</v>
      </c>
      <c r="J31" s="20"/>
    </row>
    <row r="32" spans="1:10" s="33" customFormat="1">
      <c r="A32" s="20" t="s">
        <v>65</v>
      </c>
      <c r="B32" s="20">
        <f>-15.627+3.899-30.109-7.021+0.082+20.421+3.084-1.902+8.933-E32-D32-C32</f>
        <v>-5.2410000000000068</v>
      </c>
      <c r="C32" s="20">
        <f>4.552+4.194-23.447-6.529+0.015+9.955-1.361+0.322-0.7-E32-D32</f>
        <v>-22.323</v>
      </c>
      <c r="D32" s="20">
        <f>15.683+3.527-12.003-2.007-0.004+1.521+1.672+1.022-0.087-E32</f>
        <v>0.25200000000000067</v>
      </c>
      <c r="E32" s="20">
        <f>14.149+3.319-6.057+0.323+0.02-3.764+1.747-0.302-0.363</f>
        <v>9.072000000000001</v>
      </c>
      <c r="F32" s="20">
        <f>-16.487-12.29+1.797+8.687-0.351-1.446+3.201+1.403-18.255-I32-H32-G32</f>
        <v>-34.068000000000005</v>
      </c>
      <c r="G32" s="20">
        <f>16.475-5.32+0.352-0.385-7.595-2.04+1.483-2.643-I32-H32</f>
        <v>-1.3309999999999973</v>
      </c>
      <c r="H32" s="20">
        <f>1.093-4.575-2.228+3.623+4.07+2.383-2.708-I32</f>
        <v>-0.21600000000000064</v>
      </c>
      <c r="I32" s="20">
        <f>5.773+1.497+0.283-5.135-0.161-0.384+0.001</f>
        <v>1.8740000000000001</v>
      </c>
      <c r="J32" s="20"/>
    </row>
    <row r="33" spans="1:10" s="33" customFormat="1">
      <c r="A33" s="20" t="s">
        <v>66</v>
      </c>
      <c r="B33" s="20">
        <f>-B19-B20-B21</f>
        <v>-14.968999999999999</v>
      </c>
      <c r="C33" s="20">
        <f>-C19-C20-C21</f>
        <v>-4.9300000000000006</v>
      </c>
      <c r="D33" s="20">
        <f t="shared" ref="D33:I33" si="5">-D19-D20-D21</f>
        <v>-3.5569999999999999</v>
      </c>
      <c r="E33" s="20">
        <f t="shared" si="5"/>
        <v>-2.1420000000000003</v>
      </c>
      <c r="F33" s="20">
        <f t="shared" si="5"/>
        <v>9.57</v>
      </c>
      <c r="G33" s="20">
        <f t="shared" si="5"/>
        <v>-2.8659999999999997</v>
      </c>
      <c r="H33" s="20">
        <f t="shared" si="5"/>
        <v>-3.2029999999999998</v>
      </c>
      <c r="I33" s="20">
        <f t="shared" si="5"/>
        <v>-7.1079999999999997</v>
      </c>
      <c r="J33" s="20"/>
    </row>
    <row r="34" spans="1:10" s="33" customFormat="1">
      <c r="A34" s="20" t="s">
        <v>57</v>
      </c>
      <c r="B34" s="29">
        <f>B35-SUM(B29:B33)</f>
        <v>-4.231999999999994</v>
      </c>
      <c r="C34" s="29">
        <f>C35-SUM(C29:C33)</f>
        <v>1.7000000000003013E-2</v>
      </c>
      <c r="D34" s="29">
        <f t="shared" ref="D34:I34" si="6">D35-SUM(D29:D33)</f>
        <v>0.26200000000000223</v>
      </c>
      <c r="E34" s="29">
        <f t="shared" si="6"/>
        <v>0.45399999999999974</v>
      </c>
      <c r="F34" s="29">
        <f t="shared" si="6"/>
        <v>0.98200000000000376</v>
      </c>
      <c r="G34" s="29">
        <f t="shared" si="6"/>
        <v>1.7299999999999973</v>
      </c>
      <c r="H34" s="29">
        <f t="shared" si="6"/>
        <v>8.0000000000002736E-2</v>
      </c>
      <c r="I34" s="29">
        <f t="shared" si="6"/>
        <v>-5.6799999999999971</v>
      </c>
      <c r="J34" s="29"/>
    </row>
    <row r="35" spans="1:10" s="27" customFormat="1">
      <c r="A35" s="27" t="s">
        <v>67</v>
      </c>
      <c r="B35" s="27">
        <f>17.781-E35-D35-C35</f>
        <v>13.170999999999998</v>
      </c>
      <c r="C35" s="27">
        <f>4.61-E35-D35</f>
        <v>-10.491</v>
      </c>
      <c r="D35" s="27">
        <f>15.101-E35</f>
        <v>8.0690000000000008</v>
      </c>
      <c r="E35" s="27">
        <v>7.032</v>
      </c>
      <c r="F35" s="27">
        <f>22.437-I35-H35-G35</f>
        <v>6.6909999999999998</v>
      </c>
      <c r="G35" s="27">
        <f>15.746-I35-H35</f>
        <v>2.7890000000000006</v>
      </c>
      <c r="H35" s="27">
        <f>12.957-I35</f>
        <v>6.878000000000001</v>
      </c>
      <c r="I35" s="27">
        <v>6.0789999999999997</v>
      </c>
      <c r="J35" s="27">
        <f>23.186-K35</f>
        <v>23.186</v>
      </c>
    </row>
    <row r="36" spans="1:10" s="33" customFormat="1">
      <c r="A36" s="20" t="s">
        <v>68</v>
      </c>
      <c r="B36" s="29">
        <f>-10.216-13.495-E36-D36-C36</f>
        <v>-6.8589999999999964</v>
      </c>
      <c r="C36" s="29">
        <f>-7.857-8.995-E36-D36</f>
        <v>-6.8900000000000006</v>
      </c>
      <c r="D36" s="29">
        <f>-6.642-3.32-E36</f>
        <v>-6.798</v>
      </c>
      <c r="E36" s="29">
        <f>-1.733-1.431</f>
        <v>-3.1640000000000001</v>
      </c>
      <c r="F36" s="29">
        <f>-2.896-12.792-I36-H36-G36</f>
        <v>-4.6549999999999994</v>
      </c>
      <c r="G36" s="29">
        <f>-1.843-9.19-I36-H36</f>
        <v>-4.048</v>
      </c>
      <c r="H36" s="29">
        <f>-0.429-6.556-I36</f>
        <v>-3.3210000000000002</v>
      </c>
      <c r="I36" s="29">
        <f>-0.182-3.482</f>
        <v>-3.6640000000000001</v>
      </c>
      <c r="J36" s="29">
        <f>-0.916-7.209-K36</f>
        <v>-8.125</v>
      </c>
    </row>
    <row r="37" spans="1:10" s="27" customFormat="1">
      <c r="A37" s="27" t="s">
        <v>69</v>
      </c>
      <c r="B37" s="27">
        <f>+B35+B36</f>
        <v>6.3120000000000012</v>
      </c>
      <c r="C37" s="27">
        <f>+C35+C36</f>
        <v>-17.381</v>
      </c>
      <c r="D37" s="27">
        <f t="shared" ref="D37:J37" si="7">+D35+D36</f>
        <v>1.2710000000000008</v>
      </c>
      <c r="E37" s="27">
        <f t="shared" si="7"/>
        <v>3.8679999999999999</v>
      </c>
      <c r="F37" s="27">
        <f t="shared" si="7"/>
        <v>2.0360000000000005</v>
      </c>
      <c r="G37" s="27">
        <f t="shared" si="7"/>
        <v>-1.2589999999999995</v>
      </c>
      <c r="H37" s="27">
        <f t="shared" si="7"/>
        <v>3.5570000000000008</v>
      </c>
      <c r="I37" s="27">
        <f t="shared" si="7"/>
        <v>2.4149999999999996</v>
      </c>
      <c r="J37" s="27">
        <f t="shared" si="7"/>
        <v>15.061</v>
      </c>
    </row>
    <row r="39" spans="1:10" s="35" customFormat="1">
      <c r="A39" s="34" t="s">
        <v>70</v>
      </c>
      <c r="B39" s="20">
        <v>37.048000000000002</v>
      </c>
      <c r="C39" s="20">
        <v>37.103000000000002</v>
      </c>
      <c r="D39" s="20">
        <v>19.391999999999999</v>
      </c>
      <c r="E39" s="20">
        <v>11.571</v>
      </c>
      <c r="F39" s="20">
        <v>7.0970000000000004</v>
      </c>
      <c r="G39" s="20"/>
      <c r="H39" s="20"/>
      <c r="I39" s="20"/>
      <c r="J39" s="20"/>
    </row>
    <row r="40" spans="1:10" s="35" customFormat="1">
      <c r="A40" s="34" t="s">
        <v>71</v>
      </c>
      <c r="B40" s="20">
        <v>446.02199999999999</v>
      </c>
      <c r="C40" s="20">
        <f>447.1+0.9</f>
        <v>448</v>
      </c>
      <c r="D40" s="20">
        <f>343.3+0.5</f>
        <v>343.8</v>
      </c>
      <c r="E40" s="20">
        <v>344</v>
      </c>
      <c r="F40" s="20">
        <v>345</v>
      </c>
      <c r="G40" s="20"/>
      <c r="H40" s="20"/>
      <c r="I40" s="20"/>
      <c r="J40" s="20"/>
    </row>
    <row r="41" spans="1:10" s="35" customFormat="1">
      <c r="A41" s="34" t="s">
        <v>72</v>
      </c>
      <c r="B41" s="20">
        <f>B39+B40</f>
        <v>483.07</v>
      </c>
      <c r="C41" s="20">
        <f>C39+C40</f>
        <v>485.10300000000001</v>
      </c>
      <c r="D41" s="20">
        <f>D39+D40</f>
        <v>363.19200000000001</v>
      </c>
      <c r="E41" s="20">
        <f>E39+E40</f>
        <v>355.57100000000003</v>
      </c>
      <c r="F41" s="20">
        <f>F39+F40</f>
        <v>352.09699999999998</v>
      </c>
      <c r="G41" s="20"/>
      <c r="H41" s="20"/>
      <c r="I41" s="20"/>
      <c r="J41" s="20"/>
    </row>
    <row r="42" spans="1:10" s="35" customFormat="1">
      <c r="A42" s="34" t="s">
        <v>73</v>
      </c>
      <c r="B42" s="36">
        <v>0</v>
      </c>
      <c r="C42" s="36">
        <v>0</v>
      </c>
      <c r="D42" s="36">
        <v>0</v>
      </c>
      <c r="E42" s="36">
        <v>0</v>
      </c>
      <c r="F42" s="36">
        <v>0</v>
      </c>
      <c r="G42" s="36"/>
      <c r="H42" s="36"/>
      <c r="I42" s="36"/>
      <c r="J42" s="36"/>
    </row>
    <row r="43" spans="1:10">
      <c r="B43" s="35"/>
      <c r="C43" s="35"/>
      <c r="D43" s="35"/>
      <c r="E43" s="35"/>
    </row>
    <row r="44" spans="1:10">
      <c r="A44" s="19" t="s">
        <v>74</v>
      </c>
      <c r="B44" s="28">
        <v>4.3570000000000002</v>
      </c>
      <c r="C44" s="28">
        <v>1.452</v>
      </c>
      <c r="D44" s="28">
        <v>1.083</v>
      </c>
      <c r="E44" s="28">
        <v>9.1110000000000007</v>
      </c>
      <c r="F44" s="28">
        <v>1.734</v>
      </c>
      <c r="G44" s="28"/>
      <c r="H44" s="28"/>
      <c r="I44" s="28"/>
      <c r="J44" s="28"/>
    </row>
    <row r="46" spans="1:10">
      <c r="A46" s="14" t="s">
        <v>75</v>
      </c>
      <c r="B46" s="33">
        <f t="shared" ref="B46:G46" si="8">SUM(B12:E12)</f>
        <v>492.39300000000003</v>
      </c>
      <c r="C46" s="33">
        <f t="shared" si="8"/>
        <v>470.6</v>
      </c>
      <c r="D46" s="33">
        <f t="shared" si="8"/>
        <v>441.47499999999997</v>
      </c>
      <c r="E46" s="33">
        <f t="shared" si="8"/>
        <v>439.79500000000002</v>
      </c>
      <c r="F46" s="33">
        <f t="shared" si="8"/>
        <v>466.024</v>
      </c>
      <c r="G46" s="33">
        <f t="shared" si="8"/>
        <v>465.58499999999998</v>
      </c>
    </row>
    <row r="47" spans="1:10">
      <c r="A47" s="14" t="s">
        <v>76</v>
      </c>
      <c r="B47" s="33">
        <f t="shared" ref="B47:G47" si="9">+B27</f>
        <v>91.614999999999981</v>
      </c>
      <c r="C47" s="33">
        <f t="shared" si="9"/>
        <v>85.486999999999995</v>
      </c>
      <c r="D47" s="33">
        <f t="shared" si="9"/>
        <v>73.796999999999997</v>
      </c>
      <c r="E47" s="33">
        <f t="shared" si="9"/>
        <v>73.033000000000001</v>
      </c>
      <c r="F47" s="33">
        <f t="shared" si="9"/>
        <v>86.155000000000001</v>
      </c>
      <c r="G47" s="33">
        <f t="shared" si="9"/>
        <v>77.228999999999999</v>
      </c>
    </row>
    <row r="48" spans="1:10">
      <c r="A48" s="14" t="s">
        <v>77</v>
      </c>
      <c r="B48" s="33">
        <f t="shared" ref="B48:G48" si="10">+SUM(B37:E37)</f>
        <v>-5.9299999999999979</v>
      </c>
      <c r="C48" s="33">
        <f t="shared" si="10"/>
        <v>-10.206</v>
      </c>
      <c r="D48" s="33">
        <f t="shared" si="10"/>
        <v>5.9160000000000021</v>
      </c>
      <c r="E48" s="33">
        <f t="shared" si="10"/>
        <v>8.2020000000000017</v>
      </c>
      <c r="F48" s="33">
        <f t="shared" si="10"/>
        <v>6.7490000000000006</v>
      </c>
      <c r="G48" s="33">
        <f t="shared" si="10"/>
        <v>19.774000000000001</v>
      </c>
    </row>
    <row r="50" spans="1:10" s="37" customFormat="1">
      <c r="A50" s="37" t="s">
        <v>78</v>
      </c>
      <c r="B50" s="37">
        <f>+SUM(B39:B40)/B47</f>
        <v>5.2728265022103376</v>
      </c>
      <c r="C50" s="37">
        <f>+SUM(C39:C40)/C47</f>
        <v>5.67458210020237</v>
      </c>
      <c r="D50" s="37">
        <f>+SUM(D39:D40)/D47</f>
        <v>4.9215008740192694</v>
      </c>
      <c r="E50" s="37">
        <f>+SUM(E39:E40)/E47</f>
        <v>4.8686347267673522</v>
      </c>
      <c r="F50" s="37">
        <f>+SUM(F39:F40)/F47</f>
        <v>4.0867854448377923</v>
      </c>
    </row>
    <row r="51" spans="1:10" s="37" customFormat="1">
      <c r="A51" s="37" t="s">
        <v>79</v>
      </c>
      <c r="B51" s="37">
        <f>+B41/B47</f>
        <v>5.2728265022103376</v>
      </c>
      <c r="C51" s="37">
        <f>+C41/C47</f>
        <v>5.67458210020237</v>
      </c>
      <c r="D51" s="37">
        <f>+D41/D47</f>
        <v>4.9215008740192694</v>
      </c>
      <c r="E51" s="37">
        <f>+E41/E47</f>
        <v>4.8686347267673522</v>
      </c>
      <c r="F51" s="37">
        <f>+F41/F47</f>
        <v>4.0867854448377923</v>
      </c>
    </row>
    <row r="52" spans="1:10" s="37" customFormat="1">
      <c r="A52" s="37" t="s">
        <v>80</v>
      </c>
      <c r="B52" s="37">
        <f>+(B41-B44)/B47</f>
        <v>5.2252687878622508</v>
      </c>
      <c r="C52" s="37">
        <f>+(C41-C44)/C47</f>
        <v>5.6575970615415212</v>
      </c>
      <c r="D52" s="37">
        <f>+(D41-D44)/D47</f>
        <v>4.906825480710598</v>
      </c>
      <c r="E52" s="37">
        <f>+(E41-E44)/E47</f>
        <v>4.743882902249668</v>
      </c>
      <c r="F52" s="37">
        <f>+(F41-F44)/F47</f>
        <v>4.0666589286750625</v>
      </c>
    </row>
    <row r="53" spans="1:10" s="38" customFormat="1">
      <c r="A53" s="38" t="s">
        <v>81</v>
      </c>
      <c r="B53" s="38">
        <f>+B48/B41</f>
        <v>-1.2275653631978798E-2</v>
      </c>
      <c r="C53" s="38">
        <f>+C48/C41</f>
        <v>-2.103883092868937E-2</v>
      </c>
      <c r="D53" s="38">
        <f>+D48/D41</f>
        <v>1.6288905041961281E-2</v>
      </c>
      <c r="E53" s="38">
        <f>+E48/E41</f>
        <v>2.306712302184374E-2</v>
      </c>
      <c r="F53" s="38">
        <f>+F48/F41</f>
        <v>1.9168013359954789E-2</v>
      </c>
    </row>
    <row r="54" spans="1:10" s="38" customFormat="1">
      <c r="A54" s="39" t="s">
        <v>82</v>
      </c>
      <c r="B54" s="40">
        <v>8</v>
      </c>
      <c r="C54" s="40">
        <v>8</v>
      </c>
      <c r="D54" s="40">
        <v>8</v>
      </c>
      <c r="E54" s="40">
        <v>8</v>
      </c>
      <c r="F54" s="40">
        <v>8</v>
      </c>
      <c r="G54" s="40"/>
      <c r="H54" s="39"/>
      <c r="I54" s="39"/>
      <c r="J54" s="39"/>
    </row>
    <row r="55" spans="1:10" s="38" customFormat="1">
      <c r="A55" s="38" t="s">
        <v>83</v>
      </c>
      <c r="B55" s="41" t="str">
        <f t="shared" ref="B55:G55" si="11">IF(B42=0,IF(B54="","","*"&amp;TEXT(B54,"0.0x")),(B41+B42-B44)/B47)</f>
        <v>*8.0x</v>
      </c>
      <c r="C55" s="41" t="str">
        <f t="shared" si="11"/>
        <v>*8.0x</v>
      </c>
      <c r="D55" s="41" t="str">
        <f t="shared" si="11"/>
        <v>*8.0x</v>
      </c>
      <c r="E55" s="41" t="str">
        <f t="shared" si="11"/>
        <v>*8.0x</v>
      </c>
      <c r="F55" s="41" t="str">
        <f t="shared" si="11"/>
        <v>*8.0x</v>
      </c>
      <c r="G55" s="41" t="str">
        <f t="shared" si="11"/>
        <v/>
      </c>
      <c r="H55" s="41" t="str">
        <f>IF(H42=0,IF(H54="","",CONCATENATE("* ",H54,"x")),(H41+H42-H44)/H47)</f>
        <v/>
      </c>
      <c r="I55" s="41" t="str">
        <f>IF(I42=0,IF(I54="","",CONCATENATE("* ",I54,"x")),(I41+I42-I44)/I47)</f>
        <v/>
      </c>
      <c r="J55" s="41" t="str">
        <f>IF(J42=0,IF(J54="","",CONCATENATE("* ",J54,"x")),(J41+J42-J44)/J47)</f>
        <v/>
      </c>
    </row>
    <row r="56" spans="1:10">
      <c r="G56" s="42"/>
    </row>
    <row r="57" spans="1:10" ht="80.25" customHeight="1">
      <c r="A57" s="43" t="s">
        <v>84</v>
      </c>
      <c r="B57" s="44"/>
      <c r="C57" s="44"/>
      <c r="D57" s="44"/>
      <c r="E57" s="44"/>
      <c r="F57" s="44"/>
      <c r="G57" s="44"/>
      <c r="H57" s="44"/>
      <c r="I57" s="44"/>
      <c r="J57" s="44"/>
    </row>
    <row r="58" spans="1:10">
      <c r="A58" s="45"/>
      <c r="B58" s="42"/>
      <c r="C58" s="42"/>
    </row>
    <row r="59" spans="1:10">
      <c r="A59" s="45"/>
    </row>
  </sheetData>
  <pageMargins left="0.7" right="0.7" top="0.75" bottom="0.75" header="0.3" footer="0.3"/>
  <pageSetup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FF0000"/>
  </sheetPr>
  <dimension ref="A2:J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ColWidth="9.109375" defaultRowHeight="13.8"/>
  <cols>
    <col min="1" max="1" width="22.6640625" style="14" customWidth="1"/>
    <col min="2" max="10" width="10.6640625" style="14" customWidth="1"/>
    <col min="11" max="16384" width="9.109375" style="14"/>
  </cols>
  <sheetData>
    <row r="2" spans="1:10">
      <c r="A2" s="13" t="s">
        <v>44</v>
      </c>
      <c r="B2" s="14" t="s">
        <v>13</v>
      </c>
    </row>
    <row r="3" spans="1:10" s="16" customFormat="1">
      <c r="A3" s="15" t="s">
        <v>45</v>
      </c>
      <c r="B3" s="16" t="s">
        <v>125</v>
      </c>
    </row>
    <row r="4" spans="1:10">
      <c r="A4" s="13" t="s">
        <v>2</v>
      </c>
      <c r="B4" s="14" t="s">
        <v>4</v>
      </c>
    </row>
    <row r="5" spans="1:10">
      <c r="A5" s="13" t="s">
        <v>46</v>
      </c>
    </row>
    <row r="6" spans="1:10">
      <c r="A6" s="13" t="s">
        <v>47</v>
      </c>
    </row>
    <row r="7" spans="1:10">
      <c r="A7" s="13" t="s">
        <v>48</v>
      </c>
      <c r="B7" s="14" t="e">
        <v>#N/A</v>
      </c>
    </row>
    <row r="8" spans="1:10">
      <c r="A8" s="13" t="s">
        <v>347</v>
      </c>
      <c r="B8" s="14" t="e">
        <v>#N/A</v>
      </c>
    </row>
    <row r="9" spans="1:10">
      <c r="A9" s="17"/>
    </row>
    <row r="10" spans="1:10">
      <c r="A10" s="17" t="s">
        <v>49</v>
      </c>
      <c r="B10" s="18">
        <v>43008</v>
      </c>
      <c r="C10" s="18">
        <v>42916</v>
      </c>
      <c r="D10" s="18">
        <v>42825</v>
      </c>
      <c r="E10" s="18">
        <v>42735</v>
      </c>
      <c r="F10" s="18">
        <v>42643</v>
      </c>
      <c r="G10" s="18">
        <v>42551</v>
      </c>
      <c r="H10" s="18">
        <v>42460</v>
      </c>
      <c r="I10" s="18">
        <v>42369</v>
      </c>
      <c r="J10" s="18">
        <v>42277</v>
      </c>
    </row>
    <row r="12" spans="1:10">
      <c r="A12" s="19" t="s">
        <v>50</v>
      </c>
      <c r="B12" s="20">
        <v>137.1</v>
      </c>
      <c r="C12" s="20">
        <v>141.66300000000001</v>
      </c>
      <c r="D12" s="20">
        <v>141.834</v>
      </c>
      <c r="E12" s="20">
        <v>146.136</v>
      </c>
      <c r="F12" s="20">
        <v>156.22900000000001</v>
      </c>
      <c r="G12" s="20">
        <v>162.53700000000001</v>
      </c>
      <c r="H12" s="20">
        <v>138.67699999999999</v>
      </c>
      <c r="I12" s="20">
        <v>146.69999999999999</v>
      </c>
      <c r="J12" s="20">
        <v>144.65100000000001</v>
      </c>
    </row>
    <row r="13" spans="1:10" s="21" customFormat="1">
      <c r="A13" s="21" t="s">
        <v>51</v>
      </c>
      <c r="B13" s="21">
        <f>+B12/F12-1</f>
        <v>-0.12244205621235504</v>
      </c>
      <c r="C13" s="21">
        <f>+C12/G12-1</f>
        <v>-0.12842614297052357</v>
      </c>
      <c r="D13" s="21">
        <f>+D12/H12-1</f>
        <v>2.2765130483064944E-2</v>
      </c>
      <c r="E13" s="21">
        <f>+E12/I12-1</f>
        <v>-3.8445807770960405E-3</v>
      </c>
      <c r="F13" s="21">
        <f>+F12/J12-1</f>
        <v>8.0040926091074382E-2</v>
      </c>
    </row>
    <row r="14" spans="1:10" s="24" customFormat="1">
      <c r="A14" s="22" t="s">
        <v>52</v>
      </c>
      <c r="B14" s="23" t="s">
        <v>3</v>
      </c>
      <c r="C14" s="23" t="s">
        <v>3</v>
      </c>
      <c r="D14" s="23" t="s">
        <v>3</v>
      </c>
      <c r="E14" s="23" t="s">
        <v>3</v>
      </c>
      <c r="F14" s="23" t="s">
        <v>3</v>
      </c>
      <c r="G14" s="22"/>
      <c r="H14" s="22"/>
      <c r="I14" s="22"/>
      <c r="J14" s="22"/>
    </row>
    <row r="16" spans="1:10" s="17" customFormat="1">
      <c r="A16" s="25" t="s">
        <v>53</v>
      </c>
      <c r="B16" s="26">
        <v>31.2</v>
      </c>
      <c r="C16" s="26">
        <v>30.124000000000017</v>
      </c>
      <c r="D16" s="26">
        <v>24.734000000000005</v>
      </c>
      <c r="E16" s="26">
        <v>15.535999999999998</v>
      </c>
      <c r="F16" s="26">
        <v>33.268000000000015</v>
      </c>
      <c r="G16" s="26">
        <v>32.96200000000001</v>
      </c>
      <c r="H16" s="26">
        <v>32.030999999999992</v>
      </c>
      <c r="I16" s="26">
        <v>36.799999999999983</v>
      </c>
      <c r="J16" s="26">
        <v>38.6</v>
      </c>
    </row>
    <row r="17" spans="1:10" s="21" customFormat="1">
      <c r="A17" s="21" t="s">
        <v>54</v>
      </c>
      <c r="B17" s="21">
        <f>+B16/B12</f>
        <v>0.2275711159737418</v>
      </c>
      <c r="C17" s="21">
        <f>+C16/C12</f>
        <v>0.21264550376597993</v>
      </c>
      <c r="D17" s="21">
        <f t="shared" ref="D17:J17" si="0">+D16/D12</f>
        <v>0.17438695940324608</v>
      </c>
      <c r="E17" s="21">
        <f t="shared" si="0"/>
        <v>0.10631192861444133</v>
      </c>
      <c r="F17" s="21">
        <f t="shared" si="0"/>
        <v>0.21294381964936096</v>
      </c>
      <c r="G17" s="21">
        <f t="shared" si="0"/>
        <v>0.20279690162855232</v>
      </c>
      <c r="H17" s="21">
        <f t="shared" si="0"/>
        <v>0.23097557633926313</v>
      </c>
      <c r="I17" s="21">
        <f t="shared" si="0"/>
        <v>0.25085207907293788</v>
      </c>
      <c r="J17" s="21">
        <f t="shared" si="0"/>
        <v>0.26684917491064697</v>
      </c>
    </row>
    <row r="18" spans="1:10" s="24" customFormat="1"/>
    <row r="19" spans="1:10" s="24" customFormat="1">
      <c r="A19" s="19" t="s">
        <v>55</v>
      </c>
      <c r="B19" s="20">
        <v>0</v>
      </c>
      <c r="C19" s="20">
        <v>0</v>
      </c>
      <c r="D19" s="20">
        <v>0</v>
      </c>
      <c r="E19" s="20">
        <v>0</v>
      </c>
      <c r="F19" s="20">
        <v>0</v>
      </c>
      <c r="G19" s="20">
        <v>0</v>
      </c>
      <c r="H19" s="20">
        <v>0</v>
      </c>
      <c r="I19" s="20">
        <v>0</v>
      </c>
      <c r="J19" s="20">
        <v>0</v>
      </c>
    </row>
    <row r="20" spans="1:10" s="24" customFormat="1">
      <c r="A20" s="19" t="s">
        <v>56</v>
      </c>
      <c r="B20" s="20">
        <v>0</v>
      </c>
      <c r="C20" s="20">
        <v>0</v>
      </c>
      <c r="D20" s="20">
        <v>0</v>
      </c>
      <c r="E20" s="20">
        <v>0</v>
      </c>
      <c r="F20" s="20">
        <v>0</v>
      </c>
      <c r="G20" s="20">
        <v>0</v>
      </c>
      <c r="H20" s="20">
        <v>0</v>
      </c>
      <c r="I20" s="20">
        <v>0</v>
      </c>
      <c r="J20" s="20">
        <v>0</v>
      </c>
    </row>
    <row r="21" spans="1:10" s="24" customFormat="1">
      <c r="A21" s="19" t="s">
        <v>57</v>
      </c>
      <c r="B21" s="20">
        <v>0</v>
      </c>
      <c r="C21" s="20">
        <v>0</v>
      </c>
      <c r="D21" s="20">
        <v>0</v>
      </c>
      <c r="E21" s="20">
        <v>0</v>
      </c>
      <c r="F21" s="20">
        <v>0</v>
      </c>
      <c r="G21" s="20">
        <v>0</v>
      </c>
      <c r="H21" s="20">
        <v>0</v>
      </c>
      <c r="I21" s="20">
        <v>0</v>
      </c>
      <c r="J21" s="20">
        <v>0</v>
      </c>
    </row>
    <row r="22" spans="1:10" s="17" customFormat="1">
      <c r="A22" s="17" t="s">
        <v>58</v>
      </c>
      <c r="B22" s="27">
        <f>SUM(B16,B19:B21)</f>
        <v>31.2</v>
      </c>
      <c r="C22" s="27">
        <f>SUM(C16,C19:C21)</f>
        <v>30.124000000000017</v>
      </c>
      <c r="D22" s="27">
        <f t="shared" ref="D22:J22" si="1">SUM(D16,D19:D21)</f>
        <v>24.734000000000005</v>
      </c>
      <c r="E22" s="27">
        <f t="shared" si="1"/>
        <v>15.535999999999998</v>
      </c>
      <c r="F22" s="27">
        <f t="shared" si="1"/>
        <v>33.268000000000015</v>
      </c>
      <c r="G22" s="27">
        <f t="shared" si="1"/>
        <v>32.96200000000001</v>
      </c>
      <c r="H22" s="27">
        <f t="shared" si="1"/>
        <v>32.030999999999992</v>
      </c>
      <c r="I22" s="27">
        <f t="shared" si="1"/>
        <v>36.799999999999983</v>
      </c>
      <c r="J22" s="27">
        <f t="shared" si="1"/>
        <v>38.6</v>
      </c>
    </row>
    <row r="23" spans="1:10" s="17" customFormat="1">
      <c r="B23" s="27"/>
      <c r="C23" s="27"/>
      <c r="D23" s="27"/>
      <c r="E23" s="27"/>
      <c r="F23" s="27"/>
      <c r="G23" s="27"/>
      <c r="H23" s="27"/>
      <c r="I23" s="27"/>
      <c r="J23" s="27"/>
    </row>
    <row r="24" spans="1:10" s="17" customFormat="1">
      <c r="A24" s="17" t="s">
        <v>59</v>
      </c>
      <c r="B24" s="27">
        <f t="shared" ref="B24:G24" si="2">SUM(B22:E22)</f>
        <v>101.59400000000002</v>
      </c>
      <c r="C24" s="27">
        <f t="shared" si="2"/>
        <v>103.66200000000003</v>
      </c>
      <c r="D24" s="27">
        <f t="shared" si="2"/>
        <v>106.50000000000003</v>
      </c>
      <c r="E24" s="27">
        <f t="shared" si="2"/>
        <v>113.79700000000001</v>
      </c>
      <c r="F24" s="27">
        <f t="shared" si="2"/>
        <v>135.06099999999998</v>
      </c>
      <c r="G24" s="27">
        <f t="shared" si="2"/>
        <v>140.39299999999997</v>
      </c>
      <c r="H24" s="27"/>
      <c r="I24" s="27"/>
      <c r="J24" s="27"/>
    </row>
    <row r="25" spans="1:10" s="24" customFormat="1">
      <c r="A25" s="19" t="s">
        <v>60</v>
      </c>
      <c r="B25" s="28">
        <f>109.6-B24</f>
        <v>8.0059999999999718</v>
      </c>
      <c r="C25" s="28">
        <f>114.7-C24</f>
        <v>11.037999999999968</v>
      </c>
      <c r="D25" s="28">
        <f>115.7-D24</f>
        <v>9.1999999999999744</v>
      </c>
      <c r="E25" s="28">
        <v>0</v>
      </c>
      <c r="F25" s="28">
        <v>0</v>
      </c>
      <c r="G25" s="28">
        <v>0</v>
      </c>
      <c r="H25" s="28"/>
      <c r="I25" s="28"/>
      <c r="J25" s="28"/>
    </row>
    <row r="26" spans="1:10" s="24" customFormat="1">
      <c r="A26" s="19" t="s">
        <v>61</v>
      </c>
      <c r="B26" s="29">
        <v>0</v>
      </c>
      <c r="C26" s="29">
        <v>0</v>
      </c>
      <c r="D26" s="29">
        <v>0</v>
      </c>
      <c r="E26" s="29">
        <v>0</v>
      </c>
      <c r="F26" s="29">
        <v>0</v>
      </c>
      <c r="G26" s="29">
        <v>0</v>
      </c>
      <c r="H26" s="30"/>
      <c r="I26" s="30"/>
      <c r="J26" s="30"/>
    </row>
    <row r="27" spans="1:10" s="32" customFormat="1">
      <c r="A27" s="17" t="s">
        <v>62</v>
      </c>
      <c r="B27" s="27">
        <f t="shared" ref="B27:G27" si="3">SUM(B24:B26)</f>
        <v>109.6</v>
      </c>
      <c r="C27" s="27">
        <f t="shared" si="3"/>
        <v>114.7</v>
      </c>
      <c r="D27" s="27">
        <f t="shared" si="3"/>
        <v>115.7</v>
      </c>
      <c r="E27" s="27">
        <f t="shared" si="3"/>
        <v>113.79700000000001</v>
      </c>
      <c r="F27" s="27">
        <f t="shared" si="3"/>
        <v>135.06099999999998</v>
      </c>
      <c r="G27" s="27">
        <f t="shared" si="3"/>
        <v>140.39299999999997</v>
      </c>
      <c r="H27" s="31"/>
      <c r="I27" s="31"/>
      <c r="J27" s="31"/>
    </row>
    <row r="28" spans="1:10" s="24" customFormat="1"/>
    <row r="29" spans="1:10" s="17" customFormat="1">
      <c r="A29" s="17" t="s">
        <v>58</v>
      </c>
      <c r="B29" s="27">
        <f t="shared" ref="B29:J29" si="4">B22</f>
        <v>31.2</v>
      </c>
      <c r="C29" s="27">
        <f t="shared" si="4"/>
        <v>30.124000000000017</v>
      </c>
      <c r="D29" s="27">
        <f t="shared" si="4"/>
        <v>24.734000000000005</v>
      </c>
      <c r="E29" s="27">
        <f t="shared" si="4"/>
        <v>15.535999999999998</v>
      </c>
      <c r="F29" s="27">
        <f t="shared" si="4"/>
        <v>33.268000000000015</v>
      </c>
      <c r="G29" s="27">
        <f t="shared" si="4"/>
        <v>32.96200000000001</v>
      </c>
      <c r="H29" s="27">
        <f t="shared" si="4"/>
        <v>32.030999999999992</v>
      </c>
      <c r="I29" s="27">
        <f t="shared" si="4"/>
        <v>36.799999999999983</v>
      </c>
      <c r="J29" s="27">
        <f t="shared" si="4"/>
        <v>38.6</v>
      </c>
    </row>
    <row r="30" spans="1:10" s="33" customFormat="1">
      <c r="A30" s="20" t="s">
        <v>63</v>
      </c>
      <c r="B30" s="20">
        <f>-12.816+1.071+0.486</f>
        <v>-11.259</v>
      </c>
      <c r="C30" s="20">
        <v>-13.337</v>
      </c>
      <c r="D30" s="20">
        <v>-10.125999999999998</v>
      </c>
      <c r="E30" s="20">
        <v>-7.1610000000000014</v>
      </c>
      <c r="F30" s="20">
        <v>-9.08</v>
      </c>
      <c r="G30" s="20">
        <v>-10.132999999999999</v>
      </c>
      <c r="H30" s="20">
        <v>-9.9260000000000002</v>
      </c>
      <c r="I30" s="20">
        <v>-10</v>
      </c>
      <c r="J30" s="20">
        <v>-9.1999999999999993</v>
      </c>
    </row>
    <row r="31" spans="1:10" s="33" customFormat="1">
      <c r="A31" s="20" t="s">
        <v>64</v>
      </c>
      <c r="B31" s="20">
        <v>-0.64500000000000002</v>
      </c>
      <c r="C31" s="20">
        <v>4.3999999999999997E-2</v>
      </c>
      <c r="D31" s="20">
        <v>-1.3979999999999999</v>
      </c>
      <c r="E31" s="20">
        <v>1.155</v>
      </c>
      <c r="F31" s="20">
        <v>-0.20100000000000001</v>
      </c>
      <c r="G31" s="20">
        <v>-0.84399999999999997</v>
      </c>
      <c r="H31" s="20">
        <v>-0.254</v>
      </c>
      <c r="I31" s="20">
        <v>0</v>
      </c>
      <c r="J31" s="20">
        <v>0</v>
      </c>
    </row>
    <row r="32" spans="1:10" s="33" customFormat="1">
      <c r="A32" s="20" t="s">
        <v>65</v>
      </c>
      <c r="B32" s="20">
        <f>-0.11+0.118+0.5-1.521+5.717-0.981</f>
        <v>3.7229999999999999</v>
      </c>
      <c r="C32" s="20">
        <v>3.5910000000000002</v>
      </c>
      <c r="D32" s="20">
        <v>9.6020000000000003</v>
      </c>
      <c r="E32" s="20">
        <v>3.9450000000000021</v>
      </c>
      <c r="F32" s="20">
        <v>8.5689999999999991</v>
      </c>
      <c r="G32" s="20">
        <v>-2.4959999999999996</v>
      </c>
      <c r="H32" s="20">
        <v>5.674999999999998</v>
      </c>
      <c r="I32" s="20">
        <v>11.122000000000002</v>
      </c>
      <c r="J32" s="20">
        <v>-13.24</v>
      </c>
    </row>
    <row r="33" spans="1:10" s="33" customFormat="1">
      <c r="A33" s="20" t="s">
        <v>66</v>
      </c>
      <c r="B33" s="20">
        <v>0</v>
      </c>
      <c r="C33" s="20">
        <v>0</v>
      </c>
      <c r="D33" s="20">
        <v>0</v>
      </c>
      <c r="E33" s="20">
        <v>0</v>
      </c>
      <c r="F33" s="20">
        <v>0</v>
      </c>
      <c r="G33" s="20">
        <v>0</v>
      </c>
      <c r="H33" s="20">
        <v>0</v>
      </c>
      <c r="I33" s="20">
        <v>0</v>
      </c>
      <c r="J33" s="20">
        <v>0</v>
      </c>
    </row>
    <row r="34" spans="1:10" s="33" customFormat="1">
      <c r="A34" s="20" t="s">
        <v>57</v>
      </c>
      <c r="B34" s="29">
        <v>0</v>
      </c>
      <c r="C34" s="29">
        <v>0</v>
      </c>
      <c r="D34" s="29">
        <v>0</v>
      </c>
      <c r="E34" s="29">
        <v>0</v>
      </c>
      <c r="F34" s="29">
        <v>0</v>
      </c>
      <c r="G34" s="29">
        <v>0</v>
      </c>
      <c r="H34" s="29">
        <v>0</v>
      </c>
      <c r="I34" s="29">
        <v>0</v>
      </c>
      <c r="J34" s="29">
        <v>0</v>
      </c>
    </row>
    <row r="35" spans="1:10" s="27" customFormat="1">
      <c r="A35" s="27" t="s">
        <v>67</v>
      </c>
      <c r="B35" s="27">
        <v>19.922000000000001</v>
      </c>
      <c r="C35" s="27">
        <v>5.593</v>
      </c>
      <c r="D35" s="27">
        <v>20.46</v>
      </c>
      <c r="E35" s="27">
        <v>7.4780000000000086</v>
      </c>
      <c r="F35" s="27">
        <v>31.856000000000002</v>
      </c>
      <c r="G35" s="27">
        <v>18.731999999999999</v>
      </c>
      <c r="H35" s="27">
        <v>27.361999999999998</v>
      </c>
      <c r="I35" s="27">
        <v>34.510000000000005</v>
      </c>
      <c r="J35" s="27">
        <v>15.577</v>
      </c>
    </row>
    <row r="36" spans="1:10" s="33" customFormat="1">
      <c r="A36" s="20" t="s">
        <v>68</v>
      </c>
      <c r="B36" s="29">
        <f>-2.175-9.443</f>
        <v>-11.617999999999999</v>
      </c>
      <c r="C36" s="29">
        <v>-11.718999999999999</v>
      </c>
      <c r="D36" s="29">
        <v>-10.920999999999999</v>
      </c>
      <c r="E36" s="29">
        <v>5.3329999999999984</v>
      </c>
      <c r="F36" s="29">
        <v>-11.725999999999999</v>
      </c>
      <c r="G36" s="29">
        <v>-33.725999999999999</v>
      </c>
      <c r="H36" s="29">
        <v>-8.6029999999999998</v>
      </c>
      <c r="I36" s="29">
        <v>-14.905999999999999</v>
      </c>
      <c r="J36" s="29">
        <v>-4.7380000000000004</v>
      </c>
    </row>
    <row r="37" spans="1:10" s="27" customFormat="1">
      <c r="A37" s="27" t="s">
        <v>69</v>
      </c>
      <c r="B37" s="27">
        <f>+B35+B36</f>
        <v>8.304000000000002</v>
      </c>
      <c r="C37" s="27">
        <f>+C35+C36</f>
        <v>-6.1259999999999994</v>
      </c>
      <c r="D37" s="27">
        <f t="shared" ref="D37:J37" si="5">+D35+D36</f>
        <v>9.5390000000000015</v>
      </c>
      <c r="E37" s="27">
        <f t="shared" si="5"/>
        <v>12.811000000000007</v>
      </c>
      <c r="F37" s="27">
        <f t="shared" si="5"/>
        <v>20.130000000000003</v>
      </c>
      <c r="G37" s="27">
        <f t="shared" si="5"/>
        <v>-14.994</v>
      </c>
      <c r="H37" s="27">
        <f t="shared" si="5"/>
        <v>18.759</v>
      </c>
      <c r="I37" s="27">
        <f t="shared" si="5"/>
        <v>19.604000000000006</v>
      </c>
      <c r="J37" s="27">
        <f t="shared" si="5"/>
        <v>10.838999999999999</v>
      </c>
    </row>
    <row r="39" spans="1:10" s="35" customFormat="1">
      <c r="A39" s="34" t="s">
        <v>70</v>
      </c>
      <c r="B39" s="20">
        <v>45</v>
      </c>
      <c r="C39" s="20">
        <v>45</v>
      </c>
      <c r="D39" s="20">
        <v>45</v>
      </c>
      <c r="E39" s="20">
        <v>40</v>
      </c>
      <c r="F39" s="20">
        <v>28</v>
      </c>
      <c r="G39" s="20">
        <v>40</v>
      </c>
      <c r="H39" s="20"/>
      <c r="I39" s="20"/>
      <c r="J39" s="20"/>
    </row>
    <row r="40" spans="1:10" s="35" customFormat="1">
      <c r="A40" s="34" t="s">
        <v>71</v>
      </c>
      <c r="B40" s="20">
        <f t="shared" ref="B40:G40" si="6">B41-B39</f>
        <v>414.8</v>
      </c>
      <c r="C40" s="20">
        <f t="shared" si="6"/>
        <v>420.70000000000005</v>
      </c>
      <c r="D40" s="20">
        <f t="shared" si="6"/>
        <v>427.608</v>
      </c>
      <c r="E40" s="20">
        <f t="shared" si="6"/>
        <v>420.983</v>
      </c>
      <c r="F40" s="20">
        <f t="shared" si="6"/>
        <v>428.5</v>
      </c>
      <c r="G40" s="20">
        <f t="shared" si="6"/>
        <v>432.5</v>
      </c>
      <c r="H40" s="20"/>
      <c r="I40" s="20"/>
      <c r="J40" s="20"/>
    </row>
    <row r="41" spans="1:10" s="35" customFormat="1">
      <c r="A41" s="34" t="s">
        <v>72</v>
      </c>
      <c r="B41" s="20">
        <v>459.8</v>
      </c>
      <c r="C41" s="20">
        <v>465.70000000000005</v>
      </c>
      <c r="D41" s="20">
        <v>472.608</v>
      </c>
      <c r="E41" s="20">
        <v>460.983</v>
      </c>
      <c r="F41" s="20">
        <v>456.5</v>
      </c>
      <c r="G41" s="20">
        <v>472.5</v>
      </c>
      <c r="H41" s="20"/>
      <c r="I41" s="20"/>
      <c r="J41" s="20"/>
    </row>
    <row r="42" spans="1:10" s="35" customFormat="1">
      <c r="A42" s="34" t="s">
        <v>73</v>
      </c>
      <c r="B42" s="36">
        <v>0</v>
      </c>
      <c r="C42" s="36">
        <v>0</v>
      </c>
      <c r="D42" s="36">
        <v>0</v>
      </c>
      <c r="E42" s="36">
        <v>0</v>
      </c>
      <c r="F42" s="36">
        <v>0</v>
      </c>
      <c r="G42" s="36">
        <v>0</v>
      </c>
      <c r="H42" s="36"/>
      <c r="I42" s="36"/>
      <c r="J42" s="36"/>
    </row>
    <row r="43" spans="1:10">
      <c r="B43" s="35"/>
      <c r="C43" s="35"/>
      <c r="D43" s="35"/>
      <c r="E43" s="35"/>
    </row>
    <row r="44" spans="1:10">
      <c r="A44" s="19" t="s">
        <v>74</v>
      </c>
      <c r="B44" s="28">
        <v>10.07</v>
      </c>
      <c r="C44" s="28">
        <v>8.766</v>
      </c>
      <c r="D44" s="28">
        <v>15.991</v>
      </c>
      <c r="E44" s="28">
        <v>8.2080000000000002</v>
      </c>
      <c r="F44" s="28">
        <v>5.3150000000000004</v>
      </c>
      <c r="G44" s="28">
        <v>6.6420000000000003</v>
      </c>
      <c r="H44" s="28"/>
      <c r="I44" s="28"/>
      <c r="J44" s="28"/>
    </row>
    <row r="46" spans="1:10">
      <c r="A46" s="14" t="s">
        <v>75</v>
      </c>
      <c r="B46" s="33">
        <f t="shared" ref="B46:G46" si="7">SUM(B12:E12)</f>
        <v>566.73300000000006</v>
      </c>
      <c r="C46" s="33">
        <f t="shared" si="7"/>
        <v>585.86200000000008</v>
      </c>
      <c r="D46" s="33">
        <f t="shared" si="7"/>
        <v>606.7360000000001</v>
      </c>
      <c r="E46" s="33">
        <f t="shared" si="7"/>
        <v>603.57900000000006</v>
      </c>
      <c r="F46" s="33">
        <f t="shared" si="7"/>
        <v>604.14300000000003</v>
      </c>
      <c r="G46" s="33">
        <f t="shared" si="7"/>
        <v>592.56500000000005</v>
      </c>
    </row>
    <row r="47" spans="1:10">
      <c r="A47" s="14" t="s">
        <v>76</v>
      </c>
      <c r="B47" s="33">
        <f t="shared" ref="B47:G47" si="8">+B27</f>
        <v>109.6</v>
      </c>
      <c r="C47" s="33">
        <f t="shared" si="8"/>
        <v>114.7</v>
      </c>
      <c r="D47" s="33">
        <f t="shared" si="8"/>
        <v>115.7</v>
      </c>
      <c r="E47" s="33">
        <f t="shared" si="8"/>
        <v>113.79700000000001</v>
      </c>
      <c r="F47" s="33">
        <f t="shared" si="8"/>
        <v>135.06099999999998</v>
      </c>
      <c r="G47" s="33">
        <f t="shared" si="8"/>
        <v>140.39299999999997</v>
      </c>
    </row>
    <row r="48" spans="1:10">
      <c r="A48" s="14" t="s">
        <v>77</v>
      </c>
      <c r="B48" s="33">
        <f t="shared" ref="B48:G48" si="9">+SUM(B37:E37)</f>
        <v>24.528000000000013</v>
      </c>
      <c r="C48" s="33">
        <f t="shared" si="9"/>
        <v>36.354000000000013</v>
      </c>
      <c r="D48" s="33">
        <f t="shared" si="9"/>
        <v>27.486000000000011</v>
      </c>
      <c r="E48" s="33">
        <f t="shared" si="9"/>
        <v>36.70600000000001</v>
      </c>
      <c r="F48" s="33">
        <f t="shared" si="9"/>
        <v>43.499000000000009</v>
      </c>
      <c r="G48" s="33">
        <f t="shared" si="9"/>
        <v>34.208000000000006</v>
      </c>
    </row>
    <row r="50" spans="1:10" s="37" customFormat="1">
      <c r="A50" s="37" t="s">
        <v>78</v>
      </c>
      <c r="B50" s="37">
        <f t="shared" ref="B50:G50" si="10">+SUM(B39:B40)/B47</f>
        <v>4.195255474452555</v>
      </c>
      <c r="C50" s="37">
        <f t="shared" si="10"/>
        <v>4.0601569311246735</v>
      </c>
      <c r="D50" s="37">
        <f t="shared" si="10"/>
        <v>4.0847709593777006</v>
      </c>
      <c r="E50" s="37">
        <f t="shared" si="10"/>
        <v>4.0509240138140719</v>
      </c>
      <c r="F50" s="37">
        <f t="shared" si="10"/>
        <v>3.3799542428976541</v>
      </c>
      <c r="G50" s="37">
        <f t="shared" si="10"/>
        <v>3.3655524135818746</v>
      </c>
    </row>
    <row r="51" spans="1:10" s="37" customFormat="1">
      <c r="A51" s="37" t="s">
        <v>79</v>
      </c>
      <c r="B51" s="37">
        <f t="shared" ref="B51:G51" si="11">+B41/B47</f>
        <v>4.195255474452555</v>
      </c>
      <c r="C51" s="37">
        <f t="shared" si="11"/>
        <v>4.0601569311246735</v>
      </c>
      <c r="D51" s="37">
        <f t="shared" si="11"/>
        <v>4.0847709593777006</v>
      </c>
      <c r="E51" s="37">
        <f t="shared" si="11"/>
        <v>4.0509240138140719</v>
      </c>
      <c r="F51" s="37">
        <f t="shared" si="11"/>
        <v>3.3799542428976541</v>
      </c>
      <c r="G51" s="37">
        <f t="shared" si="11"/>
        <v>3.3655524135818746</v>
      </c>
    </row>
    <row r="52" spans="1:10" s="37" customFormat="1">
      <c r="A52" s="37" t="s">
        <v>80</v>
      </c>
      <c r="B52" s="37">
        <f t="shared" ref="B52:G52" si="12">+(B41-B44)/B47</f>
        <v>4.1033759124087599</v>
      </c>
      <c r="C52" s="37">
        <f t="shared" si="12"/>
        <v>3.9837314734088931</v>
      </c>
      <c r="D52" s="37">
        <f t="shared" si="12"/>
        <v>3.946560069144339</v>
      </c>
      <c r="E52" s="37">
        <f t="shared" si="12"/>
        <v>3.9787955745757793</v>
      </c>
      <c r="F52" s="37">
        <f t="shared" si="12"/>
        <v>3.3406016540674219</v>
      </c>
      <c r="G52" s="37">
        <f t="shared" si="12"/>
        <v>3.3182423625109521</v>
      </c>
    </row>
    <row r="53" spans="1:10" s="38" customFormat="1">
      <c r="A53" s="38" t="s">
        <v>81</v>
      </c>
      <c r="B53" s="38">
        <f t="shared" ref="B53:G53" si="13">+B48/B41</f>
        <v>5.3344932579382366E-2</v>
      </c>
      <c r="C53" s="38">
        <f t="shared" si="13"/>
        <v>7.8063130770882561E-2</v>
      </c>
      <c r="D53" s="38">
        <f t="shared" si="13"/>
        <v>5.8158135283363825E-2</v>
      </c>
      <c r="E53" s="38">
        <f t="shared" si="13"/>
        <v>7.9625495951043776E-2</v>
      </c>
      <c r="F53" s="38">
        <f t="shared" si="13"/>
        <v>9.5288061336254129E-2</v>
      </c>
      <c r="G53" s="38">
        <f t="shared" si="13"/>
        <v>7.2397883597883614E-2</v>
      </c>
    </row>
    <row r="54" spans="1:10" s="38" customFormat="1">
      <c r="A54" s="39" t="s">
        <v>82</v>
      </c>
      <c r="B54" s="40">
        <v>5</v>
      </c>
      <c r="C54" s="40">
        <v>5</v>
      </c>
      <c r="D54" s="40">
        <v>5</v>
      </c>
      <c r="E54" s="40">
        <v>5</v>
      </c>
      <c r="F54" s="40">
        <v>5</v>
      </c>
      <c r="G54" s="40">
        <v>5</v>
      </c>
      <c r="H54" s="39"/>
      <c r="I54" s="39"/>
      <c r="J54" s="39"/>
    </row>
    <row r="55" spans="1:10" s="38" customFormat="1">
      <c r="A55" s="38" t="s">
        <v>83</v>
      </c>
      <c r="B55" s="41" t="str">
        <f t="shared" ref="B55:G55" si="14">IF(B42=0,IF(B54="","","*"&amp;TEXT(B54,"0.0x")),(B41+B42-B44)/B47)</f>
        <v>*5.0x</v>
      </c>
      <c r="C55" s="41" t="str">
        <f t="shared" si="14"/>
        <v>*5.0x</v>
      </c>
      <c r="D55" s="41" t="str">
        <f t="shared" si="14"/>
        <v>*5.0x</v>
      </c>
      <c r="E55" s="41" t="str">
        <f t="shared" si="14"/>
        <v>*5.0x</v>
      </c>
      <c r="F55" s="41" t="str">
        <f t="shared" si="14"/>
        <v>*5.0x</v>
      </c>
      <c r="G55" s="41" t="str">
        <f t="shared" si="14"/>
        <v>*5.0x</v>
      </c>
      <c r="H55" s="41" t="str">
        <f>IF(H42=0,IF(H54="","",CONCATENATE("* ",H54,"x")),(H41+H42-H44)/H47)</f>
        <v/>
      </c>
      <c r="I55" s="41" t="str">
        <f>IF(I42=0,IF(I54="","",CONCATENATE("* ",I54,"x")),(I41+I42-I44)/I47)</f>
        <v/>
      </c>
      <c r="J55" s="41" t="str">
        <f>IF(J42=0,IF(J54="","",CONCATENATE("* ",J54,"x")),(J41+J42-J44)/J47)</f>
        <v/>
      </c>
    </row>
    <row r="56" spans="1:10">
      <c r="G56" s="42"/>
    </row>
    <row r="57" spans="1:10" ht="80.25" customHeight="1">
      <c r="A57" s="43" t="s">
        <v>84</v>
      </c>
      <c r="B57" s="44" t="s">
        <v>90</v>
      </c>
      <c r="C57" s="44" t="s">
        <v>90</v>
      </c>
      <c r="D57" s="44"/>
      <c r="E57" s="44"/>
      <c r="F57" s="44"/>
      <c r="G57" s="44"/>
      <c r="H57" s="44"/>
      <c r="I57" s="44"/>
      <c r="J57" s="44"/>
    </row>
    <row r="58" spans="1:10">
      <c r="A58" s="45"/>
      <c r="B58" s="42"/>
      <c r="C58" s="42"/>
    </row>
    <row r="59" spans="1:10">
      <c r="A59" s="45"/>
    </row>
  </sheetData>
  <pageMargins left="0.7" right="0.7" top="0.75" bottom="0.75" header="0.3" footer="0.3"/>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FF0000"/>
  </sheetPr>
  <dimension ref="A2:I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ColWidth="9.109375" defaultRowHeight="13.8"/>
  <cols>
    <col min="1" max="1" width="22.6640625" style="14" customWidth="1"/>
    <col min="2" max="9" width="10.6640625" style="14" customWidth="1"/>
    <col min="10" max="16384" width="9.109375" style="14"/>
  </cols>
  <sheetData>
    <row r="2" spans="1:9">
      <c r="A2" s="13" t="s">
        <v>44</v>
      </c>
      <c r="B2" s="14" t="s">
        <v>154</v>
      </c>
    </row>
    <row r="3" spans="1:9" s="16" customFormat="1">
      <c r="A3" s="15" t="s">
        <v>45</v>
      </c>
      <c r="B3" s="16" t="s">
        <v>108</v>
      </c>
    </row>
    <row r="4" spans="1:9">
      <c r="A4" s="13" t="s">
        <v>2</v>
      </c>
      <c r="B4" s="14" t="s">
        <v>4</v>
      </c>
    </row>
    <row r="5" spans="1:9">
      <c r="A5" s="13" t="s">
        <v>46</v>
      </c>
    </row>
    <row r="6" spans="1:9">
      <c r="A6" s="13" t="s">
        <v>47</v>
      </c>
    </row>
    <row r="7" spans="1:9">
      <c r="A7" s="13" t="s">
        <v>48</v>
      </c>
      <c r="B7" s="14" t="e">
        <v>#N/A</v>
      </c>
    </row>
    <row r="8" spans="1:9">
      <c r="A8" s="13" t="s">
        <v>347</v>
      </c>
      <c r="B8" s="14" t="e">
        <v>#N/A</v>
      </c>
    </row>
    <row r="9" spans="1:9">
      <c r="A9" s="17"/>
    </row>
    <row r="10" spans="1:9">
      <c r="A10" s="17" t="s">
        <v>49</v>
      </c>
      <c r="B10" s="18">
        <v>42916</v>
      </c>
      <c r="C10" s="18">
        <v>42825</v>
      </c>
      <c r="D10" s="18">
        <v>42735</v>
      </c>
      <c r="E10" s="18">
        <v>42643</v>
      </c>
      <c r="F10" s="18">
        <v>42551</v>
      </c>
      <c r="G10" s="18">
        <v>42460</v>
      </c>
      <c r="H10" s="18">
        <v>42369</v>
      </c>
      <c r="I10" s="18">
        <v>42277</v>
      </c>
    </row>
    <row r="12" spans="1:9">
      <c r="A12" s="19" t="s">
        <v>50</v>
      </c>
      <c r="B12" s="20">
        <v>2616</v>
      </c>
      <c r="C12" s="20">
        <v>2469</v>
      </c>
      <c r="D12" s="20">
        <f>9657-G12-F12-E12</f>
        <v>2395</v>
      </c>
      <c r="E12" s="20">
        <v>2363</v>
      </c>
      <c r="F12" s="20">
        <v>2544</v>
      </c>
      <c r="G12" s="20">
        <v>2355</v>
      </c>
      <c r="H12" s="20">
        <f>10299-7967</f>
        <v>2332</v>
      </c>
      <c r="I12" s="20">
        <v>2638</v>
      </c>
    </row>
    <row r="13" spans="1:9" s="21" customFormat="1">
      <c r="A13" s="21" t="s">
        <v>51</v>
      </c>
      <c r="B13" s="21">
        <f>+B12/F12-1</f>
        <v>2.8301886792452935E-2</v>
      </c>
      <c r="C13" s="21">
        <f>+C12/G12-1</f>
        <v>4.84076433121019E-2</v>
      </c>
      <c r="D13" s="21">
        <f>+D12/H12-1</f>
        <v>2.7015437392795993E-2</v>
      </c>
      <c r="E13" s="21">
        <f>+E12/I12-1</f>
        <v>-0.10424564063684605</v>
      </c>
    </row>
    <row r="14" spans="1:9" s="24" customFormat="1">
      <c r="A14" s="22" t="s">
        <v>52</v>
      </c>
      <c r="B14" s="23" t="s">
        <v>3</v>
      </c>
      <c r="C14" s="23" t="s">
        <v>3</v>
      </c>
      <c r="D14" s="23" t="s">
        <v>3</v>
      </c>
      <c r="E14" s="23" t="s">
        <v>3</v>
      </c>
      <c r="F14" s="22"/>
      <c r="G14" s="22"/>
      <c r="H14" s="22"/>
      <c r="I14" s="22"/>
    </row>
    <row r="16" spans="1:9" s="17" customFormat="1">
      <c r="A16" s="25" t="s">
        <v>53</v>
      </c>
      <c r="B16" s="26">
        <f t="shared" ref="B16:I16" si="0">B22-B21-B20-B19</f>
        <v>365</v>
      </c>
      <c r="C16" s="26">
        <f t="shared" si="0"/>
        <v>274</v>
      </c>
      <c r="D16" s="26">
        <f t="shared" si="0"/>
        <v>217</v>
      </c>
      <c r="E16" s="26">
        <f t="shared" si="0"/>
        <v>235</v>
      </c>
      <c r="F16" s="26">
        <f t="shared" si="0"/>
        <v>295</v>
      </c>
      <c r="G16" s="26">
        <f t="shared" si="0"/>
        <v>248</v>
      </c>
      <c r="H16" s="26">
        <f t="shared" si="0"/>
        <v>134</v>
      </c>
      <c r="I16" s="26">
        <f t="shared" si="0"/>
        <v>274</v>
      </c>
    </row>
    <row r="17" spans="1:9" s="21" customFormat="1">
      <c r="A17" s="21" t="s">
        <v>54</v>
      </c>
      <c r="B17" s="21">
        <f>+B16/B12</f>
        <v>0.13952599388379205</v>
      </c>
      <c r="C17" s="21">
        <f t="shared" ref="C17:I17" si="1">+C16/C12</f>
        <v>0.11097610368570271</v>
      </c>
      <c r="D17" s="21">
        <f t="shared" si="1"/>
        <v>9.0605427974947805E-2</v>
      </c>
      <c r="E17" s="21">
        <f t="shared" si="1"/>
        <v>9.9449851883199325E-2</v>
      </c>
      <c r="F17" s="21">
        <f t="shared" si="1"/>
        <v>0.11595911949685535</v>
      </c>
      <c r="G17" s="21">
        <f t="shared" si="1"/>
        <v>0.10530785562632697</v>
      </c>
      <c r="H17" s="21">
        <f t="shared" si="1"/>
        <v>5.7461406518010294E-2</v>
      </c>
      <c r="I17" s="21">
        <f t="shared" si="1"/>
        <v>0.10386656557998483</v>
      </c>
    </row>
    <row r="18" spans="1:9" s="24" customFormat="1"/>
    <row r="19" spans="1:9" s="24" customFormat="1">
      <c r="A19" s="19" t="s">
        <v>55</v>
      </c>
      <c r="B19" s="20">
        <v>0</v>
      </c>
      <c r="C19" s="20">
        <v>0</v>
      </c>
      <c r="D19" s="20">
        <v>0</v>
      </c>
      <c r="E19" s="20">
        <v>0</v>
      </c>
      <c r="F19" s="20">
        <v>0</v>
      </c>
      <c r="G19" s="20">
        <v>0</v>
      </c>
      <c r="H19" s="20">
        <v>0</v>
      </c>
      <c r="I19" s="20">
        <v>0</v>
      </c>
    </row>
    <row r="20" spans="1:9" s="24" customFormat="1">
      <c r="A20" s="19" t="s">
        <v>56</v>
      </c>
      <c r="B20" s="20">
        <f>10+12+4+6</f>
        <v>32</v>
      </c>
      <c r="C20" s="20">
        <f>36+9+3</f>
        <v>48</v>
      </c>
      <c r="D20" s="20">
        <f>82+18+23-G20-F20-E20</f>
        <v>14</v>
      </c>
      <c r="E20" s="20">
        <f>45+8</f>
        <v>53</v>
      </c>
      <c r="F20" s="20">
        <f>30+4</f>
        <v>34</v>
      </c>
      <c r="G20" s="20">
        <f>13+9</f>
        <v>22</v>
      </c>
      <c r="H20" s="20">
        <f>306+53-(223+31)</f>
        <v>105</v>
      </c>
      <c r="I20" s="20">
        <f>14+10</f>
        <v>24</v>
      </c>
    </row>
    <row r="21" spans="1:9" s="24" customFormat="1">
      <c r="A21" s="19" t="s">
        <v>57</v>
      </c>
      <c r="B21" s="20">
        <f>1+1+1-9+24-2</f>
        <v>16</v>
      </c>
      <c r="C21" s="20">
        <f>2+5</f>
        <v>7</v>
      </c>
      <c r="D21" s="20">
        <f>6+3+3+1-G21-F21-E21</f>
        <v>29</v>
      </c>
      <c r="E21" s="20">
        <f>1-22+1+4</f>
        <v>-16</v>
      </c>
      <c r="F21" s="20">
        <f>1+2-7</f>
        <v>-4</v>
      </c>
      <c r="G21" s="20">
        <f>2+1+1</f>
        <v>4</v>
      </c>
      <c r="H21" s="20">
        <f>6+2+31+4+4-(3+1+31+3+3)</f>
        <v>6</v>
      </c>
      <c r="I21" s="20">
        <f>1+8+1+3</f>
        <v>13</v>
      </c>
    </row>
    <row r="22" spans="1:9" s="17" customFormat="1">
      <c r="A22" s="17" t="s">
        <v>58</v>
      </c>
      <c r="B22" s="27">
        <v>413</v>
      </c>
      <c r="C22" s="27">
        <v>329</v>
      </c>
      <c r="D22" s="27">
        <f>1131-G22-F22-E22</f>
        <v>260</v>
      </c>
      <c r="E22" s="27">
        <v>272</v>
      </c>
      <c r="F22" s="27">
        <v>325</v>
      </c>
      <c r="G22" s="27">
        <v>274</v>
      </c>
      <c r="H22" s="27">
        <f>1226-(981)</f>
        <v>245</v>
      </c>
      <c r="I22" s="27">
        <v>311</v>
      </c>
    </row>
    <row r="23" spans="1:9" s="17" customFormat="1">
      <c r="B23" s="27"/>
      <c r="C23" s="27"/>
      <c r="D23" s="27"/>
      <c r="E23" s="27"/>
      <c r="F23" s="27"/>
      <c r="G23" s="27"/>
      <c r="H23" s="27"/>
      <c r="I23" s="27"/>
    </row>
    <row r="24" spans="1:9" s="17" customFormat="1">
      <c r="A24" s="17" t="s">
        <v>59</v>
      </c>
      <c r="B24" s="27">
        <f>SUM(B22:E22)</f>
        <v>1274</v>
      </c>
      <c r="C24" s="27">
        <f>SUM(C22:F22)</f>
        <v>1186</v>
      </c>
      <c r="D24" s="27">
        <f>SUM(D22:G22)</f>
        <v>1131</v>
      </c>
      <c r="E24" s="27">
        <f>SUM(E22:H22)</f>
        <v>1116</v>
      </c>
      <c r="F24" s="27">
        <f>SUM(F22:I22)</f>
        <v>1155</v>
      </c>
      <c r="G24" s="27"/>
      <c r="H24" s="27"/>
      <c r="I24" s="27"/>
    </row>
    <row r="25" spans="1:9" s="24" customFormat="1">
      <c r="A25" s="19" t="s">
        <v>60</v>
      </c>
      <c r="B25" s="28">
        <v>0</v>
      </c>
      <c r="C25" s="28">
        <v>0</v>
      </c>
      <c r="D25" s="28">
        <v>0</v>
      </c>
      <c r="E25" s="28">
        <v>0</v>
      </c>
      <c r="F25" s="28">
        <v>0</v>
      </c>
      <c r="G25" s="28"/>
      <c r="H25" s="28"/>
      <c r="I25" s="28"/>
    </row>
    <row r="26" spans="1:9" s="24" customFormat="1">
      <c r="A26" s="19" t="s">
        <v>61</v>
      </c>
      <c r="B26" s="29">
        <v>0</v>
      </c>
      <c r="C26" s="29">
        <v>0</v>
      </c>
      <c r="D26" s="29">
        <v>0</v>
      </c>
      <c r="E26" s="29">
        <v>0</v>
      </c>
      <c r="F26" s="29">
        <v>0</v>
      </c>
      <c r="G26" s="30"/>
      <c r="H26" s="30"/>
      <c r="I26" s="30"/>
    </row>
    <row r="27" spans="1:9" s="32" customFormat="1">
      <c r="A27" s="17" t="s">
        <v>62</v>
      </c>
      <c r="B27" s="27">
        <f>SUM(B24:B26)</f>
        <v>1274</v>
      </c>
      <c r="C27" s="27">
        <f>SUM(C24:C26)</f>
        <v>1186</v>
      </c>
      <c r="D27" s="27">
        <f>SUM(D24:D26)</f>
        <v>1131</v>
      </c>
      <c r="E27" s="27">
        <f>SUM(E24:E26)</f>
        <v>1116</v>
      </c>
      <c r="F27" s="27">
        <f>SUM(F24:F26)</f>
        <v>1155</v>
      </c>
      <c r="G27" s="31"/>
      <c r="H27" s="31"/>
      <c r="I27" s="31"/>
    </row>
    <row r="28" spans="1:9" s="24" customFormat="1"/>
    <row r="29" spans="1:9" s="17" customFormat="1">
      <c r="A29" s="17" t="s">
        <v>58</v>
      </c>
      <c r="B29" s="27">
        <f t="shared" ref="B29:I29" si="2">B22</f>
        <v>413</v>
      </c>
      <c r="C29" s="27">
        <f t="shared" si="2"/>
        <v>329</v>
      </c>
      <c r="D29" s="27">
        <f t="shared" si="2"/>
        <v>260</v>
      </c>
      <c r="E29" s="27">
        <f t="shared" si="2"/>
        <v>272</v>
      </c>
      <c r="F29" s="27">
        <f t="shared" si="2"/>
        <v>325</v>
      </c>
      <c r="G29" s="27">
        <f t="shared" si="2"/>
        <v>274</v>
      </c>
      <c r="H29" s="27">
        <f t="shared" si="2"/>
        <v>245</v>
      </c>
      <c r="I29" s="27">
        <f t="shared" si="2"/>
        <v>311</v>
      </c>
    </row>
    <row r="30" spans="1:9" s="33" customFormat="1">
      <c r="A30" s="20" t="s">
        <v>63</v>
      </c>
      <c r="B30" s="20">
        <f>-92-C30</f>
        <v>-56</v>
      </c>
      <c r="C30" s="20">
        <v>-36</v>
      </c>
      <c r="D30" s="20">
        <f>-205-G30-F30-E30</f>
        <v>-66</v>
      </c>
      <c r="E30" s="20">
        <f>-139-G30-F30</f>
        <v>-36</v>
      </c>
      <c r="F30" s="20">
        <f>-103-G30</f>
        <v>-68</v>
      </c>
      <c r="G30" s="20">
        <v>-35</v>
      </c>
      <c r="H30" s="20">
        <f>-225+158</f>
        <v>-67</v>
      </c>
      <c r="I30" s="20">
        <f>-158+115</f>
        <v>-43</v>
      </c>
    </row>
    <row r="31" spans="1:9" s="33" customFormat="1">
      <c r="A31" s="20" t="s">
        <v>64</v>
      </c>
      <c r="B31" s="20">
        <f>57-C31</f>
        <v>65</v>
      </c>
      <c r="C31" s="20">
        <v>-8</v>
      </c>
      <c r="D31" s="20">
        <f>-40-G31-F31-E31</f>
        <v>-11</v>
      </c>
      <c r="E31" s="20">
        <f>-29-G31-F31</f>
        <v>-8</v>
      </c>
      <c r="F31" s="20">
        <f>-21-G31</f>
        <v>-16</v>
      </c>
      <c r="G31" s="20">
        <v>-5</v>
      </c>
      <c r="H31" s="20">
        <f>-126+81</f>
        <v>-45</v>
      </c>
      <c r="I31" s="20">
        <f>-81+30</f>
        <v>-51</v>
      </c>
    </row>
    <row r="32" spans="1:9" s="33" customFormat="1">
      <c r="A32" s="20" t="s">
        <v>65</v>
      </c>
      <c r="B32" s="20">
        <f>-148-125+3+47-11+73-7-C32</f>
        <v>-77</v>
      </c>
      <c r="C32" s="20">
        <f>-57-110-2-15-5+77+19+2</f>
        <v>-91</v>
      </c>
      <c r="D32" s="20">
        <f>-35+283+6+8+35+45+65-55-G32-F32-E32</f>
        <v>126</v>
      </c>
      <c r="E32" s="20">
        <f>-6+246-7-12-20-16+39+2-G32-F32</f>
        <v>226</v>
      </c>
      <c r="F32" s="20">
        <f>-90+177+14+22-36-56-39+8-G32</f>
        <v>98</v>
      </c>
      <c r="G32" s="20">
        <f>-105+22+2+33-20-31+1</f>
        <v>-98</v>
      </c>
      <c r="H32" s="20">
        <f>121+179-52-66-98-166-9-31-(-53+46-13+50-92-111+74-34)</f>
        <v>11</v>
      </c>
      <c r="I32" s="20">
        <f>-53+46-13+50-92-111+74-34-(-142+7+14+62-99+12+31-21)</f>
        <v>3</v>
      </c>
    </row>
    <row r="33" spans="1:9" s="33" customFormat="1">
      <c r="A33" s="20" t="s">
        <v>66</v>
      </c>
      <c r="B33" s="20">
        <f>-B19-B20-B21</f>
        <v>-48</v>
      </c>
      <c r="C33" s="20">
        <f t="shared" ref="C33:I33" si="3">-C19-C20-C21</f>
        <v>-55</v>
      </c>
      <c r="D33" s="20">
        <f t="shared" si="3"/>
        <v>-43</v>
      </c>
      <c r="E33" s="20">
        <f t="shared" si="3"/>
        <v>-37</v>
      </c>
      <c r="F33" s="20">
        <f t="shared" si="3"/>
        <v>-30</v>
      </c>
      <c r="G33" s="20">
        <f t="shared" si="3"/>
        <v>-26</v>
      </c>
      <c r="H33" s="20">
        <f t="shared" si="3"/>
        <v>-111</v>
      </c>
      <c r="I33" s="20">
        <f t="shared" si="3"/>
        <v>-37</v>
      </c>
    </row>
    <row r="34" spans="1:9" s="33" customFormat="1">
      <c r="A34" s="20" t="s">
        <v>57</v>
      </c>
      <c r="B34" s="29">
        <f>B35-SUM(B29:B33)</f>
        <v>4</v>
      </c>
      <c r="C34" s="29">
        <f t="shared" ref="C34:I34" si="4">C35-SUM(C29:C33)</f>
        <v>-46</v>
      </c>
      <c r="D34" s="29">
        <f t="shared" si="4"/>
        <v>-36</v>
      </c>
      <c r="E34" s="29">
        <f t="shared" si="4"/>
        <v>-12</v>
      </c>
      <c r="F34" s="29">
        <f t="shared" si="4"/>
        <v>46</v>
      </c>
      <c r="G34" s="29">
        <f t="shared" si="4"/>
        <v>-22</v>
      </c>
      <c r="H34" s="29">
        <f t="shared" si="4"/>
        <v>150</v>
      </c>
      <c r="I34" s="29">
        <f t="shared" si="4"/>
        <v>23</v>
      </c>
    </row>
    <row r="35" spans="1:9" s="27" customFormat="1">
      <c r="A35" s="27" t="s">
        <v>67</v>
      </c>
      <c r="B35" s="27">
        <f>394-C35</f>
        <v>301</v>
      </c>
      <c r="C35" s="27">
        <v>93</v>
      </c>
      <c r="D35" s="27">
        <f>1078-G35-F35-E35</f>
        <v>230</v>
      </c>
      <c r="E35" s="27">
        <f>848-G35-F35</f>
        <v>405</v>
      </c>
      <c r="F35" s="27">
        <f>443-G35</f>
        <v>355</v>
      </c>
      <c r="G35" s="27">
        <v>88</v>
      </c>
      <c r="H35" s="27">
        <f>570-387</f>
        <v>183</v>
      </c>
      <c r="I35" s="27">
        <f>387-181</f>
        <v>206</v>
      </c>
    </row>
    <row r="36" spans="1:9" s="33" customFormat="1">
      <c r="A36" s="20" t="s">
        <v>68</v>
      </c>
      <c r="B36" s="29">
        <f>-147-C36</f>
        <v>-73</v>
      </c>
      <c r="C36" s="29">
        <v>-74</v>
      </c>
      <c r="D36" s="29">
        <f>-421-G36-F36-E36</f>
        <v>-131</v>
      </c>
      <c r="E36" s="29">
        <f>-290-G36-F36</f>
        <v>-101</v>
      </c>
      <c r="F36" s="29">
        <f>-189-G36</f>
        <v>-90</v>
      </c>
      <c r="G36" s="29">
        <v>-99</v>
      </c>
      <c r="H36" s="29">
        <f>-663+454</f>
        <v>-209</v>
      </c>
      <c r="I36" s="29">
        <f>-454+296</f>
        <v>-158</v>
      </c>
    </row>
    <row r="37" spans="1:9" s="27" customFormat="1">
      <c r="A37" s="27" t="s">
        <v>69</v>
      </c>
      <c r="B37" s="27">
        <f>+B35+B36</f>
        <v>228</v>
      </c>
      <c r="C37" s="27">
        <f t="shared" ref="C37:I37" si="5">+C35+C36</f>
        <v>19</v>
      </c>
      <c r="D37" s="27">
        <f t="shared" si="5"/>
        <v>99</v>
      </c>
      <c r="E37" s="27">
        <f t="shared" si="5"/>
        <v>304</v>
      </c>
      <c r="F37" s="27">
        <f t="shared" si="5"/>
        <v>265</v>
      </c>
      <c r="G37" s="27">
        <f t="shared" si="5"/>
        <v>-11</v>
      </c>
      <c r="H37" s="27">
        <f t="shared" si="5"/>
        <v>-26</v>
      </c>
      <c r="I37" s="27">
        <f t="shared" si="5"/>
        <v>48</v>
      </c>
    </row>
    <row r="39" spans="1:9" s="35" customFormat="1">
      <c r="A39" s="34" t="s">
        <v>70</v>
      </c>
      <c r="B39" s="20">
        <v>0</v>
      </c>
      <c r="C39" s="20">
        <v>0</v>
      </c>
      <c r="D39" s="20">
        <v>0</v>
      </c>
      <c r="E39" s="20">
        <v>0</v>
      </c>
      <c r="F39" s="20">
        <v>0</v>
      </c>
      <c r="G39" s="20"/>
      <c r="H39" s="20"/>
      <c r="I39" s="20"/>
    </row>
    <row r="40" spans="1:9" s="35" customFormat="1">
      <c r="A40" s="34" t="s">
        <v>71</v>
      </c>
      <c r="B40" s="20">
        <f>1862+181</f>
        <v>2043</v>
      </c>
      <c r="C40" s="20">
        <f>1965+213</f>
        <v>2178</v>
      </c>
      <c r="D40" s="20">
        <f>1967+208</f>
        <v>2175</v>
      </c>
      <c r="E40" s="20">
        <f>2234+218</f>
        <v>2452</v>
      </c>
      <c r="F40" s="20">
        <f>2435+216</f>
        <v>2651</v>
      </c>
      <c r="G40" s="20"/>
      <c r="H40" s="20"/>
      <c r="I40" s="20"/>
    </row>
    <row r="41" spans="1:9" s="35" customFormat="1">
      <c r="A41" s="34" t="s">
        <v>72</v>
      </c>
      <c r="B41" s="20">
        <f>B39+B40+1884+125+64</f>
        <v>4116</v>
      </c>
      <c r="C41" s="20">
        <f>C39+C40+1841+125+78</f>
        <v>4222</v>
      </c>
      <c r="D41" s="20">
        <f>D39+D40+1812+128+80</f>
        <v>4195</v>
      </c>
      <c r="E41" s="20">
        <f>E39+E40+1873+134+97</f>
        <v>4556</v>
      </c>
      <c r="F41" s="20">
        <f>F39+F40+1862+142+94</f>
        <v>4749</v>
      </c>
      <c r="G41" s="20"/>
      <c r="H41" s="20"/>
      <c r="I41" s="20"/>
    </row>
    <row r="42" spans="1:9" s="35" customFormat="1">
      <c r="A42" s="34" t="s">
        <v>73</v>
      </c>
      <c r="B42" s="36">
        <f>240022198/1000000*29.01</f>
        <v>6963.0439639800006</v>
      </c>
      <c r="C42" s="36">
        <f>239748757/1000000*24.34</f>
        <v>5835.4847453800003</v>
      </c>
      <c r="D42" s="36">
        <f>238505192/1000000*20.61</f>
        <v>4915.5920071199998</v>
      </c>
      <c r="E42" s="36">
        <f>238156779/1000000*16.48</f>
        <v>3924.82371792</v>
      </c>
      <c r="F42" s="36">
        <f>238158879/1000000*15.79</f>
        <v>3760.5286994100002</v>
      </c>
      <c r="G42" s="36"/>
      <c r="H42" s="36"/>
      <c r="I42" s="36"/>
    </row>
    <row r="43" spans="1:9">
      <c r="B43" s="35"/>
      <c r="C43" s="35"/>
      <c r="D43" s="35"/>
    </row>
    <row r="44" spans="1:9">
      <c r="A44" s="19" t="s">
        <v>74</v>
      </c>
      <c r="B44" s="28">
        <v>509</v>
      </c>
      <c r="C44" s="28">
        <v>457</v>
      </c>
      <c r="D44" s="28">
        <v>414</v>
      </c>
      <c r="E44" s="28">
        <v>439</v>
      </c>
      <c r="F44" s="28">
        <v>373</v>
      </c>
      <c r="G44" s="28"/>
      <c r="H44" s="28"/>
      <c r="I44" s="28"/>
    </row>
    <row r="46" spans="1:9">
      <c r="A46" s="14" t="s">
        <v>75</v>
      </c>
      <c r="B46" s="33">
        <f>SUM(B12:E12)</f>
        <v>9843</v>
      </c>
      <c r="C46" s="33">
        <f>SUM(C12:F12)</f>
        <v>9771</v>
      </c>
      <c r="D46" s="33">
        <f>SUM(D12:G12)</f>
        <v>9657</v>
      </c>
      <c r="E46" s="33">
        <f>SUM(E12:H12)</f>
        <v>9594</v>
      </c>
      <c r="F46" s="33">
        <f>SUM(F12:I12)</f>
        <v>9869</v>
      </c>
    </row>
    <row r="47" spans="1:9">
      <c r="A47" s="14" t="s">
        <v>76</v>
      </c>
      <c r="B47" s="33">
        <f>+B27</f>
        <v>1274</v>
      </c>
      <c r="C47" s="33">
        <f>+C27</f>
        <v>1186</v>
      </c>
      <c r="D47" s="33">
        <f>+D27</f>
        <v>1131</v>
      </c>
      <c r="E47" s="33">
        <f>+E27</f>
        <v>1116</v>
      </c>
      <c r="F47" s="33">
        <f>+F27</f>
        <v>1155</v>
      </c>
    </row>
    <row r="48" spans="1:9">
      <c r="A48" s="14" t="s">
        <v>77</v>
      </c>
      <c r="B48" s="33">
        <f>+SUM(B37:E37)</f>
        <v>650</v>
      </c>
      <c r="C48" s="33">
        <f>+SUM(C37:F37)</f>
        <v>687</v>
      </c>
      <c r="D48" s="33">
        <f>+SUM(D37:G37)</f>
        <v>657</v>
      </c>
      <c r="E48" s="33">
        <f>+SUM(E37:H37)</f>
        <v>532</v>
      </c>
      <c r="F48" s="33">
        <f>+SUM(F37:I37)</f>
        <v>276</v>
      </c>
    </row>
    <row r="50" spans="1:9" s="37" customFormat="1">
      <c r="A50" s="37" t="s">
        <v>78</v>
      </c>
      <c r="B50" s="37">
        <f>+SUM(B39:B40)/B47</f>
        <v>1.6036106750392465</v>
      </c>
      <c r="C50" s="37">
        <f>+SUM(C39:C40)/C47</f>
        <v>1.836424957841484</v>
      </c>
      <c r="D50" s="37">
        <f>+SUM(D39:D40)/D47</f>
        <v>1.9230769230769231</v>
      </c>
      <c r="E50" s="37">
        <f>+SUM(E39:E40)/E47</f>
        <v>2.1971326164874552</v>
      </c>
      <c r="F50" s="37">
        <f>+SUM(F39:F40)/F47</f>
        <v>2.2952380952380951</v>
      </c>
    </row>
    <row r="51" spans="1:9" s="37" customFormat="1">
      <c r="A51" s="37" t="s">
        <v>79</v>
      </c>
      <c r="B51" s="37">
        <f>+B41/B47</f>
        <v>3.2307692307692308</v>
      </c>
      <c r="C51" s="37">
        <f>+C41/C47</f>
        <v>3.5598650927487352</v>
      </c>
      <c r="D51" s="37">
        <f>+D41/D47</f>
        <v>3.7091069849690541</v>
      </c>
      <c r="E51" s="37">
        <f>+E41/E47</f>
        <v>4.0824372759856633</v>
      </c>
      <c r="F51" s="37">
        <f>+F41/F47</f>
        <v>4.1116883116883116</v>
      </c>
    </row>
    <row r="52" spans="1:9" s="37" customFormat="1">
      <c r="A52" s="37" t="s">
        <v>80</v>
      </c>
      <c r="B52" s="37">
        <f>+(B41-B44)/B47</f>
        <v>2.8312401883830454</v>
      </c>
      <c r="C52" s="37">
        <f>+(C41-C44)/C47</f>
        <v>3.1745362563237776</v>
      </c>
      <c r="D52" s="37">
        <f>+(D41-D44)/D47</f>
        <v>3.3430592396109637</v>
      </c>
      <c r="E52" s="37">
        <f>+(E41-E44)/E47</f>
        <v>3.6890681003584231</v>
      </c>
      <c r="F52" s="37">
        <f>+(F41-F44)/F47</f>
        <v>3.7887445887445885</v>
      </c>
    </row>
    <row r="53" spans="1:9" s="38" customFormat="1">
      <c r="A53" s="38" t="s">
        <v>81</v>
      </c>
      <c r="B53" s="38">
        <f>+B48/B41</f>
        <v>0.15792031098153547</v>
      </c>
      <c r="C53" s="38">
        <f>+C48/C41</f>
        <v>0.16271909047844624</v>
      </c>
      <c r="D53" s="38">
        <f>+D48/D41</f>
        <v>0.15661501787842669</v>
      </c>
      <c r="E53" s="38">
        <f>+E48/E41</f>
        <v>0.11676909569798069</v>
      </c>
      <c r="F53" s="38">
        <f>+F48/F41</f>
        <v>5.811749842072015E-2</v>
      </c>
    </row>
    <row r="54" spans="1:9" s="38" customFormat="1">
      <c r="A54" s="39" t="s">
        <v>82</v>
      </c>
      <c r="B54" s="40"/>
      <c r="C54" s="40"/>
      <c r="D54" s="40"/>
      <c r="E54" s="40"/>
      <c r="F54" s="40"/>
      <c r="G54" s="39"/>
      <c r="H54" s="39"/>
      <c r="I54" s="39"/>
    </row>
    <row r="55" spans="1:9" s="38" customFormat="1">
      <c r="A55" s="38" t="s">
        <v>83</v>
      </c>
      <c r="B55" s="41">
        <f>IF(B42=0,IF(B54="","","*"&amp;TEXT(B54,"0.0x")),(B41+B42-B44)/B47)</f>
        <v>8.2967378053218219</v>
      </c>
      <c r="C55" s="41">
        <f>IF(C42=0,IF(C54="","","*"&amp;TEXT(C54,"0.0x")),(C41+C42-C44)/C47)</f>
        <v>8.0948437988026978</v>
      </c>
      <c r="D55" s="41">
        <f>IF(D42=0,IF(D54="","","*"&amp;TEXT(D54,"0.0x")),(D41+D42-D44)/D47)</f>
        <v>7.6892944360035367</v>
      </c>
      <c r="E55" s="41">
        <f>IF(E42=0,IF(E54="","","*"&amp;TEXT(E54,"0.0x")),(E41+E42-E44)/E47)</f>
        <v>7.2059352311111118</v>
      </c>
      <c r="F55" s="41">
        <f>IF(F42=0,IF(F54="","","*"&amp;TEXT(F54,"0.0x")),(F41+F42-F44)/F47)</f>
        <v>7.0446135925627713</v>
      </c>
      <c r="G55" s="41" t="str">
        <f>IF(G42=0,IF(G54="","",CONCATENATE("* ",G54,"x")),(G41+G42-G44)/G47)</f>
        <v/>
      </c>
      <c r="H55" s="41" t="str">
        <f>IF(H42=0,IF(H54="","",CONCATENATE("* ",H54,"x")),(H41+H42-H44)/H47)</f>
        <v/>
      </c>
      <c r="I55" s="41" t="str">
        <f>IF(I42=0,IF(I54="","",CONCATENATE("* ",I54,"x")),(I41+I42-I44)/I47)</f>
        <v/>
      </c>
    </row>
    <row r="56" spans="1:9">
      <c r="F56" s="42"/>
    </row>
    <row r="57" spans="1:9" ht="80.25" customHeight="1">
      <c r="A57" s="43" t="s">
        <v>84</v>
      </c>
      <c r="B57" s="44"/>
      <c r="C57" s="44"/>
      <c r="D57" s="44"/>
      <c r="E57" s="44"/>
      <c r="F57" s="44"/>
      <c r="G57" s="44"/>
      <c r="H57" s="44"/>
      <c r="I57" s="44"/>
    </row>
    <row r="58" spans="1:9">
      <c r="A58" s="45"/>
      <c r="B58" s="42"/>
    </row>
    <row r="59" spans="1:9">
      <c r="A59" s="4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B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8" width="10.6640625" style="14" customWidth="1"/>
    <col min="19" max="19" width="9.6640625" style="14" bestFit="1" customWidth="1"/>
    <col min="20" max="20" width="9.33203125" style="14" customWidth="1"/>
    <col min="21" max="21" width="9.109375" style="14"/>
    <col min="22" max="22" width="10.44140625" style="14" bestFit="1" customWidth="1"/>
    <col min="23" max="23" width="10.44140625" style="14" customWidth="1"/>
    <col min="24" max="24" width="10" style="14" bestFit="1" customWidth="1"/>
    <col min="25" max="16384" width="9.109375" style="14"/>
  </cols>
  <sheetData>
    <row r="2" spans="1:24">
      <c r="A2" s="13" t="s">
        <v>44</v>
      </c>
      <c r="B2" s="14" t="s">
        <v>12</v>
      </c>
    </row>
    <row r="3" spans="1:24" s="16" customFormat="1">
      <c r="A3" s="15" t="s">
        <v>45</v>
      </c>
      <c r="B3" s="16" t="s">
        <v>124</v>
      </c>
    </row>
    <row r="4" spans="1:24">
      <c r="A4" s="13" t="s">
        <v>2</v>
      </c>
      <c r="B4" s="14" t="s">
        <v>4</v>
      </c>
    </row>
    <row r="5" spans="1:24">
      <c r="A5" s="13" t="s">
        <v>46</v>
      </c>
    </row>
    <row r="6" spans="1:24">
      <c r="A6" s="13" t="s">
        <v>47</v>
      </c>
      <c r="B6" s="14">
        <v>4</v>
      </c>
    </row>
    <row r="7" spans="1:24">
      <c r="A7" s="13" t="s">
        <v>48</v>
      </c>
      <c r="B7" s="14" t="s">
        <v>258</v>
      </c>
    </row>
    <row r="8" spans="1:24">
      <c r="A8" s="13" t="s">
        <v>347</v>
      </c>
      <c r="B8" s="14" t="s">
        <v>397</v>
      </c>
    </row>
    <row r="9" spans="1:24">
      <c r="A9" s="17"/>
    </row>
    <row r="10" spans="1:24">
      <c r="A10" s="17" t="s">
        <v>49</v>
      </c>
      <c r="B10" s="18">
        <v>44377</v>
      </c>
      <c r="C10" s="18">
        <v>44286</v>
      </c>
      <c r="D10" s="18">
        <v>44196</v>
      </c>
      <c r="E10" s="18">
        <v>44104</v>
      </c>
      <c r="F10" s="18">
        <v>44012</v>
      </c>
      <c r="G10" s="18">
        <v>43921</v>
      </c>
      <c r="H10" s="18">
        <v>43830</v>
      </c>
      <c r="I10" s="18">
        <v>43738</v>
      </c>
      <c r="J10" s="18">
        <v>43646</v>
      </c>
      <c r="K10" s="18">
        <v>43555</v>
      </c>
      <c r="L10" s="18">
        <v>43465</v>
      </c>
      <c r="M10" s="18">
        <v>43373</v>
      </c>
      <c r="N10" s="18">
        <v>43281</v>
      </c>
      <c r="O10" s="18">
        <v>43190</v>
      </c>
      <c r="P10" s="18">
        <v>43100</v>
      </c>
      <c r="Q10" s="18">
        <f>EOMONTH(P10,-3)</f>
        <v>43008</v>
      </c>
      <c r="R10" s="18">
        <f t="shared" ref="R10" si="0">EOMONTH(Q10,-3)</f>
        <v>42916</v>
      </c>
      <c r="S10" s="18">
        <v>42825</v>
      </c>
      <c r="X10" s="17"/>
    </row>
    <row r="11" spans="1:24">
      <c r="P11" s="48"/>
    </row>
    <row r="12" spans="1:24">
      <c r="A12" s="19" t="s">
        <v>50</v>
      </c>
      <c r="B12" s="26">
        <f>610.454+2.319</f>
        <v>612.77299999999991</v>
      </c>
      <c r="C12" s="26">
        <f>469.95+2.881</f>
        <v>472.83099999999996</v>
      </c>
      <c r="D12" s="26">
        <f>2279.021+31.502-E12-F12-G12</f>
        <v>514.71199999999999</v>
      </c>
      <c r="E12" s="26">
        <v>506.02499999999998</v>
      </c>
      <c r="F12" s="26">
        <f>624.752+9.744</f>
        <v>634.49599999999998</v>
      </c>
      <c r="G12" s="26">
        <f>644.102+11.188</f>
        <v>655.29</v>
      </c>
      <c r="H12" s="26">
        <f>2620.109+39.786-I12-J12-K12</f>
        <v>706.83999999999992</v>
      </c>
      <c r="I12" s="26">
        <v>653.72</v>
      </c>
      <c r="J12" s="26">
        <v>682.43</v>
      </c>
      <c r="K12" s="26">
        <v>616.90499999999997</v>
      </c>
      <c r="L12" s="26">
        <f>2573.521-M12-N12-O12</f>
        <v>673.10400000000016</v>
      </c>
      <c r="M12" s="26">
        <v>626.70100000000002</v>
      </c>
      <c r="N12" s="26">
        <v>632.904</v>
      </c>
      <c r="O12" s="26">
        <v>640.81200000000001</v>
      </c>
      <c r="P12" s="26">
        <f>2367.609-Q12-R12-S12</f>
        <v>681.18499999999995</v>
      </c>
      <c r="Q12" s="26">
        <v>715.77700000000004</v>
      </c>
      <c r="R12" s="26">
        <v>657.27499999999998</v>
      </c>
      <c r="S12" s="26">
        <v>313.37200000000001</v>
      </c>
    </row>
    <row r="13" spans="1:24" s="21" customFormat="1">
      <c r="A13" s="21" t="s">
        <v>51</v>
      </c>
      <c r="B13" s="21">
        <f t="shared" ref="B13:N13" si="1">+B12/F12-1</f>
        <v>-3.4236622453096777E-2</v>
      </c>
      <c r="C13" s="21">
        <f t="shared" si="1"/>
        <v>-0.27844007996459585</v>
      </c>
      <c r="D13" s="21">
        <f t="shared" si="1"/>
        <v>-0.27181257427423455</v>
      </c>
      <c r="E13" s="21">
        <f t="shared" si="1"/>
        <v>-0.22593006180015918</v>
      </c>
      <c r="F13" s="21">
        <f t="shared" si="1"/>
        <v>-7.0240171153085229E-2</v>
      </c>
      <c r="G13" s="21">
        <f t="shared" si="1"/>
        <v>6.2221898023196331E-2</v>
      </c>
      <c r="H13" s="21">
        <f t="shared" si="1"/>
        <v>5.0120040885212047E-2</v>
      </c>
      <c r="I13" s="21">
        <f t="shared" si="1"/>
        <v>4.3113063486415415E-2</v>
      </c>
      <c r="J13" s="21">
        <f t="shared" si="1"/>
        <v>7.8251993983289747E-2</v>
      </c>
      <c r="K13" s="21">
        <f t="shared" si="1"/>
        <v>-3.7307353794872822E-2</v>
      </c>
      <c r="L13" s="21">
        <f t="shared" si="1"/>
        <v>-1.1863150245527754E-2</v>
      </c>
      <c r="M13" s="21">
        <f t="shared" si="1"/>
        <v>-0.12444658042937962</v>
      </c>
      <c r="N13" s="21">
        <f t="shared" si="1"/>
        <v>-3.7078848275075127E-2</v>
      </c>
    </row>
    <row r="14" spans="1:24"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c r="P14" s="23"/>
      <c r="Q14" s="23"/>
      <c r="R14" s="23"/>
      <c r="S14" s="23"/>
    </row>
    <row r="15" spans="1:24">
      <c r="P15" s="48"/>
    </row>
    <row r="16" spans="1:24" s="17" customFormat="1">
      <c r="A16" s="25" t="s">
        <v>53</v>
      </c>
      <c r="B16" s="26">
        <v>602.18700000000001</v>
      </c>
      <c r="C16" s="26">
        <v>463.36</v>
      </c>
      <c r="D16" s="26">
        <f>2294.253-E16-F16-G16</f>
        <v>470.80100000000016</v>
      </c>
      <c r="E16" s="26">
        <v>530.38699999999994</v>
      </c>
      <c r="F16" s="26">
        <v>646.54600000000005</v>
      </c>
      <c r="G16" s="26">
        <v>646.51900000000001</v>
      </c>
      <c r="H16" s="26">
        <f>2672.91-I16-J16-K16</f>
        <v>672.12</v>
      </c>
      <c r="I16" s="26">
        <v>653.399</v>
      </c>
      <c r="J16" s="26">
        <v>678.346</v>
      </c>
      <c r="K16" s="26">
        <v>669.04499999999996</v>
      </c>
      <c r="L16" s="26">
        <f>2509.928-M16-N16-O16</f>
        <v>671.34599999999989</v>
      </c>
      <c r="M16" s="26">
        <v>597.39400000000001</v>
      </c>
      <c r="N16" s="26">
        <v>638.94299999999998</v>
      </c>
      <c r="O16" s="26">
        <v>602.245</v>
      </c>
      <c r="P16" s="26">
        <f>2303.379-Q16-R16-S16</f>
        <v>639.14499999999998</v>
      </c>
      <c r="Q16" s="26">
        <v>706.14700000000005</v>
      </c>
      <c r="R16" s="26">
        <v>618.90200000000004</v>
      </c>
      <c r="S16" s="26">
        <v>339.185</v>
      </c>
      <c r="T16" s="98"/>
      <c r="U16" s="14"/>
    </row>
    <row r="17" spans="1:24" s="21" customFormat="1">
      <c r="A17" s="21" t="s">
        <v>54</v>
      </c>
      <c r="B17" s="21">
        <f t="shared" ref="B17" si="2">+B16/B12</f>
        <v>0.98272443466014348</v>
      </c>
      <c r="C17" s="21">
        <f t="shared" ref="C17:D17" si="3">+C16/C12</f>
        <v>0.97996958744244789</v>
      </c>
      <c r="D17" s="21">
        <f t="shared" si="3"/>
        <v>0.91468821399151401</v>
      </c>
      <c r="E17" s="21">
        <f t="shared" ref="E17:F17" si="4">+E16/E12</f>
        <v>1.0481438664097622</v>
      </c>
      <c r="F17" s="21">
        <f t="shared" si="4"/>
        <v>1.0189914514827518</v>
      </c>
      <c r="G17" s="21">
        <f t="shared" ref="G17:H17" si="5">+G16/G12</f>
        <v>0.98661508645027396</v>
      </c>
      <c r="H17" s="21">
        <f t="shared" si="5"/>
        <v>0.95087997283685144</v>
      </c>
      <c r="I17" s="21">
        <f t="shared" ref="I17:J17" si="6">+I16/I12</f>
        <v>0.9995089640824818</v>
      </c>
      <c r="J17" s="21">
        <f t="shared" si="6"/>
        <v>0.99401550342159639</v>
      </c>
      <c r="K17" s="21">
        <f t="shared" ref="K17:P17" si="7">+K16/K12</f>
        <v>1.0845186860213485</v>
      </c>
      <c r="L17" s="21">
        <f t="shared" si="7"/>
        <v>0.99738821935391819</v>
      </c>
      <c r="M17" s="21">
        <f t="shared" si="7"/>
        <v>0.95323607270452737</v>
      </c>
      <c r="N17" s="21">
        <f t="shared" si="7"/>
        <v>1.0095417314474233</v>
      </c>
      <c r="O17" s="21">
        <f t="shared" si="7"/>
        <v>0.93981542168373877</v>
      </c>
      <c r="P17" s="21">
        <f t="shared" si="7"/>
        <v>0.93828401975968356</v>
      </c>
      <c r="Q17" s="21">
        <f t="shared" ref="Q17:S17" si="8">+Q16/Q12</f>
        <v>0.98654608907522878</v>
      </c>
      <c r="R17" s="21">
        <f t="shared" si="8"/>
        <v>0.94161804419763429</v>
      </c>
      <c r="S17" s="21">
        <f t="shared" si="8"/>
        <v>1.082371749869165</v>
      </c>
      <c r="V17" s="105"/>
      <c r="W17" s="105"/>
    </row>
    <row r="18" spans="1:24" s="24" customFormat="1">
      <c r="V18" s="105"/>
      <c r="W18" s="105"/>
    </row>
    <row r="19" spans="1:24"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c r="V19" s="105"/>
      <c r="W19" s="105"/>
    </row>
    <row r="20" spans="1:24"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c r="V20" s="105"/>
      <c r="W20" s="105"/>
    </row>
    <row r="21" spans="1:24"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c r="T21" s="113"/>
      <c r="U21" s="113"/>
      <c r="V21" s="105"/>
      <c r="W21" s="105"/>
      <c r="X21" s="105"/>
    </row>
    <row r="22" spans="1:24" s="17" customFormat="1">
      <c r="A22" s="17" t="s">
        <v>58</v>
      </c>
      <c r="B22" s="27">
        <f t="shared" ref="B22" si="9">SUM(B16,B19:B21)</f>
        <v>602.18700000000001</v>
      </c>
      <c r="C22" s="27">
        <f t="shared" ref="C22:D22" si="10">SUM(C16,C19:C21)</f>
        <v>463.36</v>
      </c>
      <c r="D22" s="27">
        <f t="shared" si="10"/>
        <v>470.80100000000016</v>
      </c>
      <c r="E22" s="27">
        <f t="shared" ref="E22:F22" si="11">SUM(E16,E19:E21)</f>
        <v>530.38699999999994</v>
      </c>
      <c r="F22" s="27">
        <f t="shared" si="11"/>
        <v>646.54600000000005</v>
      </c>
      <c r="G22" s="27">
        <f t="shared" ref="G22:H22" si="12">SUM(G16,G19:G21)</f>
        <v>646.51900000000001</v>
      </c>
      <c r="H22" s="27">
        <f t="shared" si="12"/>
        <v>672.12</v>
      </c>
      <c r="I22" s="27">
        <f t="shared" ref="I22:J22" si="13">SUM(I16,I19:I21)</f>
        <v>653.399</v>
      </c>
      <c r="J22" s="27">
        <f t="shared" si="13"/>
        <v>678.346</v>
      </c>
      <c r="K22" s="27">
        <f t="shared" ref="K22:P22" si="14">SUM(K16,K19:K21)</f>
        <v>669.04499999999996</v>
      </c>
      <c r="L22" s="27">
        <f t="shared" si="14"/>
        <v>671.34599999999989</v>
      </c>
      <c r="M22" s="27">
        <f t="shared" si="14"/>
        <v>597.39400000000001</v>
      </c>
      <c r="N22" s="27">
        <f t="shared" si="14"/>
        <v>638.94299999999998</v>
      </c>
      <c r="O22" s="27">
        <f t="shared" si="14"/>
        <v>602.245</v>
      </c>
      <c r="P22" s="27">
        <f t="shared" si="14"/>
        <v>639.14499999999998</v>
      </c>
      <c r="Q22" s="27">
        <f t="shared" ref="Q22:R22" si="15">SUM(Q16,Q19:Q21)</f>
        <v>706.14700000000005</v>
      </c>
      <c r="R22" s="27">
        <f t="shared" si="15"/>
        <v>618.90200000000004</v>
      </c>
      <c r="S22" s="27"/>
    </row>
    <row r="23" spans="1:24" s="17" customFormat="1">
      <c r="B23" s="21"/>
      <c r="C23" s="21"/>
      <c r="D23" s="21"/>
      <c r="E23" s="21"/>
      <c r="F23" s="21"/>
      <c r="G23" s="21"/>
      <c r="H23" s="21"/>
      <c r="I23" s="21"/>
      <c r="J23" s="21"/>
      <c r="K23" s="21"/>
      <c r="L23" s="21"/>
      <c r="M23" s="21"/>
      <c r="N23" s="21"/>
      <c r="O23" s="27"/>
      <c r="P23" s="27"/>
      <c r="Q23" s="27"/>
      <c r="R23" s="27"/>
      <c r="S23" s="27"/>
    </row>
    <row r="24" spans="1:24" s="17" customFormat="1">
      <c r="A24" s="17" t="s">
        <v>59</v>
      </c>
      <c r="B24" s="27">
        <f t="shared" ref="B24:O24" si="16">SUM(B22:E22)</f>
        <v>2066.7350000000001</v>
      </c>
      <c r="C24" s="27">
        <f t="shared" si="16"/>
        <v>2111.0940000000001</v>
      </c>
      <c r="D24" s="27">
        <f t="shared" si="16"/>
        <v>2294.2530000000002</v>
      </c>
      <c r="E24" s="27">
        <f t="shared" si="16"/>
        <v>2495.5720000000001</v>
      </c>
      <c r="F24" s="27">
        <f t="shared" si="16"/>
        <v>2618.5839999999998</v>
      </c>
      <c r="G24" s="27">
        <f t="shared" si="16"/>
        <v>2650.384</v>
      </c>
      <c r="H24" s="27">
        <f t="shared" si="16"/>
        <v>2672.91</v>
      </c>
      <c r="I24" s="27">
        <f t="shared" si="16"/>
        <v>2672.136</v>
      </c>
      <c r="J24" s="27">
        <f t="shared" si="16"/>
        <v>2616.1310000000003</v>
      </c>
      <c r="K24" s="27">
        <f t="shared" si="16"/>
        <v>2576.7280000000001</v>
      </c>
      <c r="L24" s="27">
        <f t="shared" si="16"/>
        <v>2509.9279999999999</v>
      </c>
      <c r="M24" s="27">
        <f t="shared" si="16"/>
        <v>2477.7269999999999</v>
      </c>
      <c r="N24" s="27">
        <f t="shared" si="16"/>
        <v>2586.48</v>
      </c>
      <c r="O24" s="27">
        <f t="shared" si="16"/>
        <v>2566.4389999999999</v>
      </c>
      <c r="P24" s="27">
        <f>SUM(P22:R22)</f>
        <v>1964.194</v>
      </c>
      <c r="Q24" s="27"/>
      <c r="R24" s="27"/>
      <c r="S24" s="27"/>
    </row>
    <row r="25" spans="1:24" s="24" customFormat="1">
      <c r="A25" s="19" t="s">
        <v>60</v>
      </c>
      <c r="B25" s="28">
        <v>0</v>
      </c>
      <c r="C25" s="28">
        <v>0</v>
      </c>
      <c r="D25" s="28">
        <v>0</v>
      </c>
      <c r="E25" s="28">
        <v>0</v>
      </c>
      <c r="F25" s="28">
        <v>0</v>
      </c>
      <c r="G25" s="28">
        <v>0</v>
      </c>
      <c r="H25" s="28">
        <v>0</v>
      </c>
      <c r="I25" s="28">
        <v>0</v>
      </c>
      <c r="J25" s="28">
        <v>0</v>
      </c>
      <c r="K25" s="28">
        <v>0</v>
      </c>
      <c r="L25" s="28">
        <v>0</v>
      </c>
      <c r="M25" s="28">
        <v>0</v>
      </c>
      <c r="N25" s="28">
        <v>0</v>
      </c>
      <c r="O25" s="28">
        <v>0</v>
      </c>
      <c r="P25" s="28">
        <v>0</v>
      </c>
      <c r="Q25" s="28"/>
      <c r="R25" s="28"/>
      <c r="S25" s="28"/>
    </row>
    <row r="26" spans="1:24" s="24" customFormat="1">
      <c r="A26" s="19" t="s">
        <v>61</v>
      </c>
      <c r="B26" s="29">
        <v>0</v>
      </c>
      <c r="C26" s="29">
        <v>0</v>
      </c>
      <c r="D26" s="29">
        <v>0</v>
      </c>
      <c r="E26" s="29">
        <v>0</v>
      </c>
      <c r="F26" s="29">
        <v>0</v>
      </c>
      <c r="G26" s="29">
        <v>0</v>
      </c>
      <c r="H26" s="29">
        <v>0</v>
      </c>
      <c r="I26" s="29">
        <v>0</v>
      </c>
      <c r="J26" s="29">
        <v>0</v>
      </c>
      <c r="K26" s="29">
        <v>0</v>
      </c>
      <c r="L26" s="29">
        <v>0</v>
      </c>
      <c r="M26" s="29">
        <v>0</v>
      </c>
      <c r="N26" s="29">
        <v>0</v>
      </c>
      <c r="O26" s="29">
        <v>0</v>
      </c>
      <c r="P26" s="29">
        <v>0</v>
      </c>
      <c r="Q26" s="29"/>
      <c r="R26" s="29"/>
      <c r="S26" s="29"/>
    </row>
    <row r="27" spans="1:24" s="32" customFormat="1">
      <c r="A27" s="17" t="s">
        <v>62</v>
      </c>
      <c r="B27" s="27">
        <f t="shared" ref="B27" si="17">SUM(B24:B26)</f>
        <v>2066.7350000000001</v>
      </c>
      <c r="C27" s="27">
        <f t="shared" ref="C27:D27" si="18">SUM(C24:C26)</f>
        <v>2111.0940000000001</v>
      </c>
      <c r="D27" s="27">
        <f t="shared" si="18"/>
        <v>2294.2530000000002</v>
      </c>
      <c r="E27" s="27">
        <f t="shared" ref="E27:F27" si="19">SUM(E24:E26)</f>
        <v>2495.5720000000001</v>
      </c>
      <c r="F27" s="27">
        <f t="shared" si="19"/>
        <v>2618.5839999999998</v>
      </c>
      <c r="G27" s="27">
        <f t="shared" ref="G27:H27" si="20">SUM(G24:G26)</f>
        <v>2650.384</v>
      </c>
      <c r="H27" s="27">
        <f t="shared" si="20"/>
        <v>2672.91</v>
      </c>
      <c r="I27" s="27">
        <f t="shared" ref="I27:J27" si="21">SUM(I24:I26)</f>
        <v>2672.136</v>
      </c>
      <c r="J27" s="27">
        <f t="shared" si="21"/>
        <v>2616.1310000000003</v>
      </c>
      <c r="K27" s="27">
        <f t="shared" ref="K27:L27" si="22">SUM(K24:K26)</f>
        <v>2576.7280000000001</v>
      </c>
      <c r="L27" s="27">
        <f t="shared" si="22"/>
        <v>2509.9279999999999</v>
      </c>
      <c r="M27" s="27">
        <f t="shared" ref="M27:P27" si="23">SUM(M24:M26)</f>
        <v>2477.7269999999999</v>
      </c>
      <c r="N27" s="27">
        <f t="shared" si="23"/>
        <v>2586.48</v>
      </c>
      <c r="O27" s="27">
        <f t="shared" si="23"/>
        <v>2566.4389999999999</v>
      </c>
      <c r="P27" s="27">
        <f t="shared" si="23"/>
        <v>1964.194</v>
      </c>
      <c r="Q27" s="27"/>
      <c r="R27" s="27"/>
      <c r="S27" s="27"/>
    </row>
    <row r="28" spans="1:24" s="24" customFormat="1"/>
    <row r="29" spans="1:24" s="17" customFormat="1">
      <c r="A29" s="17" t="s">
        <v>58</v>
      </c>
      <c r="B29" s="27">
        <f t="shared" ref="B29:C29" si="24">B22</f>
        <v>602.18700000000001</v>
      </c>
      <c r="C29" s="27">
        <f t="shared" si="24"/>
        <v>463.36</v>
      </c>
      <c r="D29" s="27">
        <f t="shared" ref="D29:E29" si="25">D22</f>
        <v>470.80100000000016</v>
      </c>
      <c r="E29" s="27">
        <f t="shared" si="25"/>
        <v>530.38699999999994</v>
      </c>
      <c r="F29" s="27">
        <f t="shared" ref="F29:G29" si="26">F22</f>
        <v>646.54600000000005</v>
      </c>
      <c r="G29" s="27">
        <f t="shared" si="26"/>
        <v>646.51900000000001</v>
      </c>
      <c r="H29" s="27">
        <f t="shared" ref="H29:I29" si="27">H22</f>
        <v>672.12</v>
      </c>
      <c r="I29" s="27">
        <f t="shared" si="27"/>
        <v>653.399</v>
      </c>
      <c r="J29" s="27">
        <f t="shared" ref="J29:O29" si="28">J22</f>
        <v>678.346</v>
      </c>
      <c r="K29" s="27">
        <f t="shared" si="28"/>
        <v>669.04499999999996</v>
      </c>
      <c r="L29" s="27">
        <f t="shared" si="28"/>
        <v>671.34599999999989</v>
      </c>
      <c r="M29" s="27">
        <f t="shared" si="28"/>
        <v>597.39400000000001</v>
      </c>
      <c r="N29" s="27">
        <f t="shared" si="28"/>
        <v>638.94299999999998</v>
      </c>
      <c r="O29" s="27">
        <f t="shared" si="28"/>
        <v>602.245</v>
      </c>
      <c r="P29" s="27">
        <f t="shared" ref="P29" si="29">P22</f>
        <v>639.14499999999998</v>
      </c>
      <c r="Q29" s="27"/>
      <c r="R29" s="27"/>
      <c r="S29" s="27"/>
      <c r="T29" s="27"/>
      <c r="U29" s="27"/>
    </row>
    <row r="30" spans="1:24" s="33" customFormat="1">
      <c r="A30" s="20" t="s">
        <v>63</v>
      </c>
      <c r="B30" s="20">
        <f>-388.808-C30</f>
        <v>-157.101</v>
      </c>
      <c r="C30" s="20">
        <v>-231.70699999999999</v>
      </c>
      <c r="D30" s="20">
        <f>-765.999-E30-F30-G30</f>
        <v>-181.80500000000009</v>
      </c>
      <c r="E30" s="20">
        <f>-584.194-F30-G30</f>
        <v>-244.35099999999991</v>
      </c>
      <c r="F30" s="20">
        <f>-339.843-G30</f>
        <v>-108.65700000000001</v>
      </c>
      <c r="G30" s="20">
        <v>-231.18600000000001</v>
      </c>
      <c r="H30" s="20">
        <f>-771.373-I30-J30-K30</f>
        <v>-166.62800000000004</v>
      </c>
      <c r="I30" s="20">
        <f>-604.745-J30-K30</f>
        <v>-219.077</v>
      </c>
      <c r="J30" s="20">
        <f>-385.668-K30</f>
        <v>-142.73000000000002</v>
      </c>
      <c r="K30" s="20">
        <v>-242.93799999999999</v>
      </c>
      <c r="L30" s="20">
        <f>-760.665-M30-N30-O30</f>
        <v>-124.51699999999994</v>
      </c>
      <c r="M30" s="20">
        <f>-636.148-N30-O30</f>
        <v>-254.82100000000003</v>
      </c>
      <c r="N30" s="20">
        <f>-381.327-O30</f>
        <v>-138.65600000000001</v>
      </c>
      <c r="O30" s="20">
        <v>-242.67099999999999</v>
      </c>
      <c r="P30" s="20">
        <f>-593.725-Q30-R30-S30</f>
        <v>-142.78700000000001</v>
      </c>
      <c r="Q30" s="20">
        <f>-450.938-R30-S30</f>
        <v>-228.09599999999998</v>
      </c>
      <c r="R30" s="20">
        <f>-222.842-S30</f>
        <v>-138.69900000000001</v>
      </c>
      <c r="S30" s="20">
        <v>-84.143000000000001</v>
      </c>
    </row>
    <row r="31" spans="1:24" s="33" customFormat="1">
      <c r="A31" s="20" t="s">
        <v>64</v>
      </c>
      <c r="B31" s="20">
        <f>2.357-C31</f>
        <v>2.6340000000000003</v>
      </c>
      <c r="C31" s="20">
        <v>-0.27700000000000002</v>
      </c>
      <c r="D31" s="20">
        <f>-0.505-E31-F31-G31</f>
        <v>0.48600000000000021</v>
      </c>
      <c r="E31" s="20">
        <f>-0.991-F31-G31</f>
        <v>-4.8000000000000043E-2</v>
      </c>
      <c r="F31" s="20">
        <f>-0.943-G31</f>
        <v>1.1019999999999999</v>
      </c>
      <c r="G31" s="20">
        <v>-2.0449999999999999</v>
      </c>
      <c r="H31" s="20">
        <f>-5.576-I31-J31-K31</f>
        <v>-0.47799999999999976</v>
      </c>
      <c r="I31" s="20">
        <f>-5.098-J31-K31</f>
        <v>0.22299999999999986</v>
      </c>
      <c r="J31" s="20">
        <f>-5.321-K31</f>
        <v>-3.1359999999999997</v>
      </c>
      <c r="K31" s="20">
        <v>-2.1850000000000001</v>
      </c>
      <c r="L31" s="20">
        <f>-24.3-M31-N31-O31</f>
        <v>-2.6739999999999995</v>
      </c>
      <c r="M31" s="20">
        <f>-21.626-N31-O31</f>
        <v>-4.8260000000000005</v>
      </c>
      <c r="N31" s="20">
        <f>-16.8-O31</f>
        <v>-5.9410000000000007</v>
      </c>
      <c r="O31" s="20">
        <v>-10.859</v>
      </c>
      <c r="P31" s="20">
        <f>-3.498-Q31-R31-S31</f>
        <v>-0.98100000000000021</v>
      </c>
      <c r="Q31" s="20">
        <f>-2.517-R31-S31</f>
        <v>-0.21499999999999975</v>
      </c>
      <c r="R31" s="20">
        <f>-2.302-S31</f>
        <v>-2.1640000000000001</v>
      </c>
      <c r="S31" s="20">
        <v>-0.13800000000000001</v>
      </c>
    </row>
    <row r="32" spans="1:24" s="33" customFormat="1">
      <c r="A32" s="20" t="s">
        <v>65</v>
      </c>
      <c r="B32" s="20">
        <f>-482.384+35.038-C32</f>
        <v>-233.99200000000002</v>
      </c>
      <c r="C32" s="20">
        <f>-129.111-84.243</f>
        <v>-213.35399999999998</v>
      </c>
      <c r="D32" s="20">
        <f>-610.526-177.731-E32-F32-G32</f>
        <v>2.6550000000001148</v>
      </c>
      <c r="E32" s="20">
        <f>-480.663-67.772-111.604-130.873-F32-G32</f>
        <v>-140.60499999999999</v>
      </c>
      <c r="F32" s="20">
        <f>-586.3-64.007-G32</f>
        <v>-482.59000000000003</v>
      </c>
      <c r="G32" s="20">
        <f>-154.211-13.506</f>
        <v>-167.71700000000001</v>
      </c>
      <c r="H32" s="20">
        <f>-406.072-227.298-I32-J32-K32</f>
        <v>-268.43799999999993</v>
      </c>
      <c r="I32" s="20">
        <f>-330.181-19.891-62.478+47.618-J32-K32</f>
        <v>-24.202000000000055</v>
      </c>
      <c r="J32" s="20">
        <f>-312.967-24.179-36.737+33.153-K32</f>
        <v>-206.51299999999998</v>
      </c>
      <c r="K32" s="20">
        <f>-95.016-55.156-19.999+35.954</f>
        <v>-134.21699999999998</v>
      </c>
      <c r="L32" s="20">
        <f>-271.012+26.558+13.536+77.046-M32-N32-O32</f>
        <v>-163.60499999999999</v>
      </c>
      <c r="M32" s="20">
        <f>-187.537-4.265+130.259+71.276-N32-O32</f>
        <v>-1.6220000000000141</v>
      </c>
      <c r="N32" s="20">
        <f>-116.283-25.816+60.056+93.398-O32</f>
        <v>-22.881999999999991</v>
      </c>
      <c r="O32" s="20">
        <f>-39.206-24.295+177.244-79.506</f>
        <v>34.236999999999995</v>
      </c>
      <c r="P32" s="20">
        <f>-160.336+33.124+36.652+81.237-Q32-R32-S32</f>
        <v>-15.834000000000032</v>
      </c>
      <c r="Q32" s="20">
        <f>-116.849+21.873-28.362+129.849-R32-S32</f>
        <v>20.40100000000001</v>
      </c>
      <c r="R32" s="20">
        <f>-104.777+5.602-29.532+114.817-S32</f>
        <v>166.69299999999998</v>
      </c>
      <c r="S32" s="20">
        <f>-181.87+4.245-36.357+33.399</f>
        <v>-180.583</v>
      </c>
      <c r="U32" s="14"/>
    </row>
    <row r="33" spans="1:28"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U33" s="35"/>
    </row>
    <row r="34" spans="1:28"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row>
    <row r="35" spans="1:28" s="27" customFormat="1">
      <c r="A35" s="27" t="s">
        <v>67</v>
      </c>
      <c r="B35" s="27">
        <f>312.591-C35</f>
        <v>194.97800000000001</v>
      </c>
      <c r="C35" s="27">
        <v>117.613</v>
      </c>
      <c r="D35" s="27">
        <f>801.68-E35-F35-G35</f>
        <v>402.75199999999995</v>
      </c>
      <c r="E35" s="27">
        <f>983.122-584.194-F35-G35</f>
        <v>122.83499999999995</v>
      </c>
      <c r="F35" s="27">
        <f>276.093-G35</f>
        <v>67.685000000000031</v>
      </c>
      <c r="G35" s="27">
        <v>208.40799999999999</v>
      </c>
      <c r="H35" s="27">
        <f>1111.291-I35-J35-K35</f>
        <v>226.82399999999996</v>
      </c>
      <c r="I35" s="27">
        <f>1489.212-604.745-J35-K35</f>
        <v>393.14499999999998</v>
      </c>
      <c r="J35" s="27">
        <f>876.99-385.668-K35</f>
        <v>280.68299999999999</v>
      </c>
      <c r="K35" s="27">
        <f>453.577+K30</f>
        <v>210.63900000000001</v>
      </c>
      <c r="L35" s="27">
        <f>2219.876-760.665-M35-N35-O35</f>
        <v>337.45900000000023</v>
      </c>
      <c r="M35" s="27">
        <f>1757.9-636.148-N35-O35</f>
        <v>325.47999999999996</v>
      </c>
      <c r="N35" s="27">
        <f>1177.599-381.327-O35</f>
        <v>421.90599999999989</v>
      </c>
      <c r="O35" s="27">
        <f>617.037+O30</f>
        <v>374.36600000000004</v>
      </c>
      <c r="P35" s="27">
        <f>2174.087-593.725-Q35-R35-S35</f>
        <v>466.28900000000027</v>
      </c>
      <c r="Q35" s="27">
        <f>1565.011-450.938-R35-S35</f>
        <v>471.11699999999979</v>
      </c>
      <c r="R35" s="27">
        <f>865.798-222.842-S35</f>
        <v>611.12200000000007</v>
      </c>
      <c r="S35" s="27">
        <f>115.977+S30</f>
        <v>31.834000000000003</v>
      </c>
    </row>
    <row r="36" spans="1:28" s="33" customFormat="1">
      <c r="A36" s="20" t="s">
        <v>68</v>
      </c>
      <c r="B36" s="29">
        <f>-666.686+226.359-C36</f>
        <v>-186.71199999999999</v>
      </c>
      <c r="C36" s="29">
        <f>-346.184+92.569</f>
        <v>-253.61500000000001</v>
      </c>
      <c r="D36" s="29">
        <f>-1936.104+863.175-E36-F36-G36</f>
        <v>-600.29</v>
      </c>
      <c r="E36" s="29">
        <f>-1334.314+861.675-F36-G36</f>
        <v>-10.086000000000013</v>
      </c>
      <c r="F36" s="29">
        <f>-1214.255+751.702-G36</f>
        <v>77.839999999999918</v>
      </c>
      <c r="G36" s="29">
        <f>-1067.299+526.906</f>
        <v>-540.39300000000003</v>
      </c>
      <c r="H36" s="29">
        <f>-2640.269+2341.946-I36-J36-K36</f>
        <v>222.38300000000004</v>
      </c>
      <c r="I36" s="29">
        <f>-1602.202+1081.496-J36-K36</f>
        <v>-283.04899999999998</v>
      </c>
      <c r="J36" s="29">
        <f>-1196.648+958.991-K36</f>
        <v>-165.19299999999993</v>
      </c>
      <c r="K36" s="29">
        <f>-378.551+306.087</f>
        <v>-72.463999999999999</v>
      </c>
      <c r="L36" s="29">
        <f>-2233.854+2185.347-M36-N36-O36</f>
        <v>142.57000000000045</v>
      </c>
      <c r="M36" s="29">
        <f>-1564.391+1373.314-N36-O36</f>
        <v>-608.58600000000001</v>
      </c>
      <c r="N36" s="29">
        <f>-555.949+973.458-O36</f>
        <v>717.47299999999996</v>
      </c>
      <c r="O36" s="29">
        <f>-411.068+111.104</f>
        <v>-299.964</v>
      </c>
      <c r="P36" s="29">
        <f>-1840.856+1352.404-Q36-R36-S36</f>
        <v>-306.97199999999998</v>
      </c>
      <c r="Q36" s="29">
        <f>-1493.221+1311.741-R36-S36</f>
        <v>33.110999999999876</v>
      </c>
      <c r="R36" s="29">
        <f>-1372.346+1157.755-S36</f>
        <v>-343.61999999999989</v>
      </c>
      <c r="S36" s="29">
        <f>-585.702+714.731</f>
        <v>129.029</v>
      </c>
      <c r="AB36" s="27"/>
    </row>
    <row r="37" spans="1:28" s="27" customFormat="1">
      <c r="A37" s="27" t="s">
        <v>69</v>
      </c>
      <c r="B37" s="27">
        <f t="shared" ref="B37:S37" si="30">+B35+B36</f>
        <v>8.2660000000000196</v>
      </c>
      <c r="C37" s="27">
        <f t="shared" si="30"/>
        <v>-136.00200000000001</v>
      </c>
      <c r="D37" s="27">
        <f t="shared" si="30"/>
        <v>-197.53800000000001</v>
      </c>
      <c r="E37" s="27">
        <f t="shared" si="30"/>
        <v>112.74899999999994</v>
      </c>
      <c r="F37" s="27">
        <f t="shared" si="30"/>
        <v>145.52499999999995</v>
      </c>
      <c r="G37" s="27">
        <f t="shared" si="30"/>
        <v>-331.98500000000001</v>
      </c>
      <c r="H37" s="27">
        <f t="shared" si="30"/>
        <v>449.20699999999999</v>
      </c>
      <c r="I37" s="27">
        <f t="shared" si="30"/>
        <v>110.096</v>
      </c>
      <c r="J37" s="27">
        <f t="shared" si="30"/>
        <v>115.49000000000007</v>
      </c>
      <c r="K37" s="27">
        <f t="shared" si="30"/>
        <v>138.17500000000001</v>
      </c>
      <c r="L37" s="27">
        <f t="shared" si="30"/>
        <v>480.02900000000068</v>
      </c>
      <c r="M37" s="27">
        <f t="shared" si="30"/>
        <v>-283.10600000000005</v>
      </c>
      <c r="N37" s="27">
        <f t="shared" si="30"/>
        <v>1139.3789999999999</v>
      </c>
      <c r="O37" s="27">
        <f t="shared" si="30"/>
        <v>74.402000000000044</v>
      </c>
      <c r="P37" s="27">
        <f t="shared" si="30"/>
        <v>159.31700000000029</v>
      </c>
      <c r="Q37" s="27">
        <f t="shared" si="30"/>
        <v>504.22799999999967</v>
      </c>
      <c r="R37" s="27">
        <f t="shared" si="30"/>
        <v>267.50200000000018</v>
      </c>
      <c r="S37" s="27">
        <f t="shared" si="30"/>
        <v>160.863</v>
      </c>
    </row>
    <row r="38" spans="1:28">
      <c r="V38" s="33"/>
      <c r="W38" s="33"/>
      <c r="X38" s="27"/>
      <c r="Y38" s="27"/>
    </row>
    <row r="39" spans="1:28" s="35" customFormat="1">
      <c r="A39" s="34" t="s">
        <v>70</v>
      </c>
      <c r="B39" s="20">
        <v>0</v>
      </c>
      <c r="C39" s="20">
        <v>0</v>
      </c>
      <c r="D39" s="20">
        <v>0</v>
      </c>
      <c r="E39" s="20">
        <v>1576.25</v>
      </c>
      <c r="F39" s="20">
        <v>3152.5</v>
      </c>
      <c r="G39" s="20">
        <f>3152.5</f>
        <v>3152.5</v>
      </c>
      <c r="H39" s="20">
        <v>0</v>
      </c>
      <c r="I39" s="20">
        <v>0</v>
      </c>
      <c r="J39" s="20">
        <v>0</v>
      </c>
      <c r="K39" s="20">
        <v>0</v>
      </c>
      <c r="L39" s="20">
        <v>0</v>
      </c>
      <c r="M39" s="20">
        <v>0</v>
      </c>
      <c r="N39" s="20">
        <v>0</v>
      </c>
      <c r="O39" s="20">
        <v>0</v>
      </c>
      <c r="P39" s="20">
        <v>0</v>
      </c>
      <c r="Q39" s="20">
        <v>0</v>
      </c>
      <c r="R39" s="20"/>
      <c r="S39" s="20"/>
      <c r="U39" s="33"/>
      <c r="X39" s="33"/>
      <c r="Y39" s="33"/>
    </row>
    <row r="40" spans="1:28" s="35" customFormat="1">
      <c r="A40" s="34" t="s">
        <v>71</v>
      </c>
      <c r="B40" s="20">
        <f>21+3318+562+1432+839+672+9</f>
        <v>6853</v>
      </c>
      <c r="C40" s="20">
        <f>C41-C39-12581.065-600</f>
        <v>7010.9189999999999</v>
      </c>
      <c r="D40" s="20">
        <f>D41-D39-600-11375.867</f>
        <v>7810.99</v>
      </c>
      <c r="E40" s="20">
        <f>E41-E39-500-11098.573</f>
        <v>8045.114999999998</v>
      </c>
      <c r="F40" s="20">
        <f>F41-F39-500-10460.947</f>
        <v>7624.2829999999994</v>
      </c>
      <c r="G40" s="20">
        <f>G41-500-11100-G39</f>
        <v>7088.9629999999997</v>
      </c>
      <c r="H40" s="20">
        <f>H41-9350-500</f>
        <v>8099.7079999999987</v>
      </c>
      <c r="I40" s="20">
        <f>I41-9350-500</f>
        <v>8191.0999999999985</v>
      </c>
      <c r="J40" s="20">
        <f>J41-9350-500</f>
        <v>8323.4939999999988</v>
      </c>
      <c r="K40" s="20">
        <f>+K41-6850-500</f>
        <v>10179.406999999999</v>
      </c>
      <c r="L40" s="20">
        <f>+L41-5750</f>
        <v>11672.490000000002</v>
      </c>
      <c r="M40" s="20">
        <f>+M41-5750</f>
        <v>12703.238000000001</v>
      </c>
      <c r="N40" s="20">
        <f>+N41-4750</f>
        <v>13447.608</v>
      </c>
      <c r="O40" s="20">
        <f>+O41-4750</f>
        <v>13835.984</v>
      </c>
      <c r="P40" s="20">
        <f>5500+8125</f>
        <v>13625</v>
      </c>
      <c r="Q40" s="20">
        <f>P40</f>
        <v>13625</v>
      </c>
      <c r="R40" s="20"/>
      <c r="S40" s="20"/>
      <c r="U40" s="33"/>
      <c r="V40" s="33"/>
      <c r="W40" s="33"/>
      <c r="X40" s="33"/>
    </row>
    <row r="41" spans="1:28" s="35" customFormat="1">
      <c r="A41" s="34" t="s">
        <v>72</v>
      </c>
      <c r="B41" s="20">
        <f>B39+B40+600+12514+177</f>
        <v>20144</v>
      </c>
      <c r="C41" s="20">
        <v>20191.984</v>
      </c>
      <c r="D41" s="20">
        <v>19786.857</v>
      </c>
      <c r="E41" s="20">
        <v>21219.937999999998</v>
      </c>
      <c r="F41" s="20">
        <v>21737.73</v>
      </c>
      <c r="G41" s="20">
        <v>21841.463</v>
      </c>
      <c r="H41" s="20">
        <v>17949.707999999999</v>
      </c>
      <c r="I41" s="20">
        <v>18041.099999999999</v>
      </c>
      <c r="J41" s="20">
        <v>18173.493999999999</v>
      </c>
      <c r="K41" s="20">
        <v>17529.406999999999</v>
      </c>
      <c r="L41" s="20">
        <v>17422.490000000002</v>
      </c>
      <c r="M41" s="20">
        <v>18453.238000000001</v>
      </c>
      <c r="N41" s="20">
        <f>18197.608</f>
        <v>18197.608</v>
      </c>
      <c r="O41" s="20">
        <v>18585.984</v>
      </c>
      <c r="P41" s="20">
        <f>17389.166</f>
        <v>17389.166000000001</v>
      </c>
      <c r="Q41" s="20">
        <v>17769.991999999998</v>
      </c>
      <c r="R41" s="20"/>
      <c r="S41" s="20"/>
      <c r="U41" s="33"/>
      <c r="V41" s="33"/>
      <c r="W41" s="33"/>
    </row>
    <row r="42" spans="1:28" s="35" customFormat="1">
      <c r="A42" s="34" t="s">
        <v>73</v>
      </c>
      <c r="B42" s="36">
        <v>7695.3320000000003</v>
      </c>
      <c r="C42" s="36">
        <v>7631.5870000000004</v>
      </c>
      <c r="D42" s="36">
        <v>7676.3090000000002</v>
      </c>
      <c r="E42" s="36">
        <v>7678.7709999999997</v>
      </c>
      <c r="F42" s="36">
        <v>7712.7449999999999</v>
      </c>
      <c r="G42" s="36">
        <v>7877.0140000000001</v>
      </c>
      <c r="H42" s="36">
        <v>7997.0349999999999</v>
      </c>
      <c r="I42" s="36">
        <v>8071.509</v>
      </c>
      <c r="J42" s="36">
        <v>7920.71</v>
      </c>
      <c r="K42" s="36">
        <v>7771.1090000000004</v>
      </c>
      <c r="L42" s="36">
        <v>7617.1819999999998</v>
      </c>
      <c r="M42" s="36">
        <v>7481.3879999999999</v>
      </c>
      <c r="N42" s="36">
        <v>7591.7709999999997</v>
      </c>
      <c r="O42" s="36">
        <f>P42</f>
        <v>7331.6620000000003</v>
      </c>
      <c r="P42" s="36">
        <v>7331.6620000000003</v>
      </c>
      <c r="Q42" s="36">
        <v>7266</v>
      </c>
      <c r="R42" s="36"/>
      <c r="S42" s="36"/>
      <c r="U42" s="33"/>
      <c r="V42" s="33"/>
      <c r="W42" s="33"/>
    </row>
    <row r="43" spans="1:28">
      <c r="B43" s="35"/>
      <c r="C43" s="35"/>
      <c r="D43" s="35"/>
      <c r="E43" s="35"/>
      <c r="F43" s="35"/>
      <c r="G43" s="35"/>
      <c r="H43" s="35"/>
      <c r="I43" s="35"/>
      <c r="J43" s="35"/>
      <c r="K43" s="35"/>
      <c r="L43" s="35"/>
      <c r="M43" s="35"/>
      <c r="N43" s="35"/>
      <c r="O43" s="35"/>
      <c r="P43" s="35"/>
      <c r="Q43" s="35"/>
      <c r="R43" s="35"/>
      <c r="S43" s="35"/>
      <c r="T43" s="35"/>
    </row>
    <row r="44" spans="1:28">
      <c r="A44" s="19" t="s">
        <v>74</v>
      </c>
      <c r="B44" s="28">
        <v>1785</v>
      </c>
      <c r="C44" s="28">
        <v>2238.0929999999998</v>
      </c>
      <c r="D44" s="28">
        <v>2421.6129999999998</v>
      </c>
      <c r="E44" s="28">
        <v>3815.1480000000001</v>
      </c>
      <c r="F44" s="28">
        <v>4180.2449999999999</v>
      </c>
      <c r="G44" s="28">
        <v>3984.1010000000001</v>
      </c>
      <c r="H44" s="28">
        <v>688.27800000000002</v>
      </c>
      <c r="I44" s="28">
        <v>1289.913</v>
      </c>
      <c r="J44" s="28">
        <v>1541.0909999999999</v>
      </c>
      <c r="K44" s="28">
        <v>870.93200000000002</v>
      </c>
      <c r="L44" s="28">
        <v>736.90099999999995</v>
      </c>
      <c r="M44" s="28">
        <v>1592.578</v>
      </c>
      <c r="N44" s="28">
        <v>2399.683</v>
      </c>
      <c r="O44" s="28">
        <v>2196.9960000000001</v>
      </c>
      <c r="P44" s="28">
        <v>1627.1510000000001</v>
      </c>
      <c r="Q44" s="28">
        <v>2404.1869999999999</v>
      </c>
      <c r="R44" s="28"/>
      <c r="S44" s="28"/>
    </row>
    <row r="46" spans="1:28">
      <c r="A46" s="14" t="s">
        <v>75</v>
      </c>
      <c r="B46" s="33">
        <f t="shared" ref="B46:O46" si="31">SUM(B12:E12)</f>
        <v>2106.3409999999999</v>
      </c>
      <c r="C46" s="33">
        <f t="shared" si="31"/>
        <v>2128.0639999999999</v>
      </c>
      <c r="D46" s="33">
        <f t="shared" si="31"/>
        <v>2310.5230000000001</v>
      </c>
      <c r="E46" s="33">
        <f t="shared" si="31"/>
        <v>2502.6509999999998</v>
      </c>
      <c r="F46" s="33">
        <f t="shared" si="31"/>
        <v>2650.346</v>
      </c>
      <c r="G46" s="33">
        <f t="shared" si="31"/>
        <v>2698.2799999999997</v>
      </c>
      <c r="H46" s="33">
        <f t="shared" si="31"/>
        <v>2659.8949999999995</v>
      </c>
      <c r="I46" s="33">
        <f t="shared" si="31"/>
        <v>2626.1590000000001</v>
      </c>
      <c r="J46" s="33">
        <f t="shared" si="31"/>
        <v>2599.1400000000003</v>
      </c>
      <c r="K46" s="33">
        <f t="shared" si="31"/>
        <v>2549.614</v>
      </c>
      <c r="L46" s="33">
        <f t="shared" si="31"/>
        <v>2573.5210000000002</v>
      </c>
      <c r="M46" s="33">
        <f t="shared" si="31"/>
        <v>2581.6019999999999</v>
      </c>
      <c r="N46" s="33">
        <f t="shared" si="31"/>
        <v>2670.6779999999999</v>
      </c>
      <c r="O46" s="33">
        <f t="shared" si="31"/>
        <v>2695.049</v>
      </c>
      <c r="P46" s="51">
        <v>2343</v>
      </c>
      <c r="Q46" s="33"/>
      <c r="R46" s="33"/>
    </row>
    <row r="47" spans="1:28">
      <c r="A47" s="14" t="s">
        <v>76</v>
      </c>
      <c r="B47" s="33">
        <f t="shared" ref="B47:C47" si="32">B27</f>
        <v>2066.7350000000001</v>
      </c>
      <c r="C47" s="33">
        <f t="shared" si="32"/>
        <v>2111.0940000000001</v>
      </c>
      <c r="D47" s="33">
        <f t="shared" ref="D47:E47" si="33">D27</f>
        <v>2294.2530000000002</v>
      </c>
      <c r="E47" s="33">
        <f t="shared" si="33"/>
        <v>2495.5720000000001</v>
      </c>
      <c r="F47" s="33">
        <f t="shared" ref="F47:G47" si="34">F27</f>
        <v>2618.5839999999998</v>
      </c>
      <c r="G47" s="33">
        <f t="shared" si="34"/>
        <v>2650.384</v>
      </c>
      <c r="H47" s="33">
        <f t="shared" ref="H47:I47" si="35">H27</f>
        <v>2672.91</v>
      </c>
      <c r="I47" s="33">
        <f t="shared" si="35"/>
        <v>2672.136</v>
      </c>
      <c r="J47" s="33">
        <f t="shared" ref="J47:O47" si="36">J27</f>
        <v>2616.1310000000003</v>
      </c>
      <c r="K47" s="33">
        <f t="shared" si="36"/>
        <v>2576.7280000000001</v>
      </c>
      <c r="L47" s="33">
        <f t="shared" si="36"/>
        <v>2509.9279999999999</v>
      </c>
      <c r="M47" s="33">
        <f t="shared" si="36"/>
        <v>2477.7269999999999</v>
      </c>
      <c r="N47" s="33">
        <f t="shared" si="36"/>
        <v>2586.48</v>
      </c>
      <c r="O47" s="33">
        <f t="shared" si="36"/>
        <v>2566.4389999999999</v>
      </c>
      <c r="P47" s="51">
        <v>2303.3789999999999</v>
      </c>
      <c r="Q47" s="33"/>
      <c r="R47" s="33"/>
    </row>
    <row r="48" spans="1:28">
      <c r="A48" s="14" t="s">
        <v>77</v>
      </c>
      <c r="B48" s="33">
        <f t="shared" ref="B48:O48" si="37">SUM(B37:E37)</f>
        <v>-212.52500000000006</v>
      </c>
      <c r="C48" s="33">
        <f t="shared" si="37"/>
        <v>-75.266000000000133</v>
      </c>
      <c r="D48" s="33">
        <f t="shared" si="37"/>
        <v>-271.24900000000014</v>
      </c>
      <c r="E48" s="33">
        <f t="shared" si="37"/>
        <v>375.49599999999987</v>
      </c>
      <c r="F48" s="33">
        <f t="shared" si="37"/>
        <v>372.84299999999996</v>
      </c>
      <c r="G48" s="33">
        <f t="shared" si="37"/>
        <v>342.80800000000005</v>
      </c>
      <c r="H48" s="33">
        <f t="shared" si="37"/>
        <v>812.96800000000007</v>
      </c>
      <c r="I48" s="33">
        <f t="shared" si="37"/>
        <v>843.79000000000076</v>
      </c>
      <c r="J48" s="33">
        <f t="shared" si="37"/>
        <v>450.5880000000007</v>
      </c>
      <c r="K48" s="33">
        <f t="shared" si="37"/>
        <v>1474.4770000000005</v>
      </c>
      <c r="L48" s="33">
        <f t="shared" si="37"/>
        <v>1410.7040000000006</v>
      </c>
      <c r="M48" s="33">
        <f t="shared" si="37"/>
        <v>1089.9920000000002</v>
      </c>
      <c r="N48" s="33">
        <f t="shared" si="37"/>
        <v>1877.3259999999998</v>
      </c>
      <c r="O48" s="33">
        <f t="shared" si="37"/>
        <v>1005.4490000000002</v>
      </c>
      <c r="P48" s="51">
        <f>2174.087-1840.856</f>
        <v>333.23099999999999</v>
      </c>
      <c r="Q48" s="33"/>
      <c r="R48" s="33"/>
    </row>
    <row r="50" spans="1:19" s="37" customFormat="1">
      <c r="A50" s="37" t="s">
        <v>78</v>
      </c>
      <c r="B50" s="37">
        <f t="shared" ref="B50" si="38">+SUM(B39:B40)/B47</f>
        <v>3.3158581046916997</v>
      </c>
      <c r="C50" s="37">
        <f t="shared" ref="C50:D50" si="39">+SUM(C39:C40)/C47</f>
        <v>3.3209885490650817</v>
      </c>
      <c r="D50" s="37">
        <f t="shared" si="39"/>
        <v>3.4045896420316328</v>
      </c>
      <c r="E50" s="37">
        <f t="shared" ref="E50:F50" si="40">+SUM(E39:E40)/E47</f>
        <v>3.8553746395615907</v>
      </c>
      <c r="F50" s="37">
        <f t="shared" si="40"/>
        <v>4.1155002092734092</v>
      </c>
      <c r="G50" s="37">
        <f t="shared" ref="G50:H50" si="41">+SUM(G39:G40)/G47</f>
        <v>3.8641430826627388</v>
      </c>
      <c r="H50" s="37">
        <f t="shared" si="41"/>
        <v>3.0302958199116317</v>
      </c>
      <c r="I50" s="37">
        <f t="shared" ref="I50:J50" si="42">+SUM(I39:I40)/I47</f>
        <v>3.0653754150237855</v>
      </c>
      <c r="J50" s="37">
        <f t="shared" si="42"/>
        <v>3.1816044380040593</v>
      </c>
      <c r="K50" s="37">
        <f t="shared" ref="K50:P50" si="43">+SUM(K39:K40)/K47</f>
        <v>3.9505167018016643</v>
      </c>
      <c r="L50" s="37">
        <f t="shared" si="43"/>
        <v>4.6505278239057066</v>
      </c>
      <c r="M50" s="37">
        <f t="shared" si="43"/>
        <v>5.1269724227083948</v>
      </c>
      <c r="N50" s="37">
        <f t="shared" si="43"/>
        <v>5.1991927252482135</v>
      </c>
      <c r="O50" s="37">
        <f t="shared" si="43"/>
        <v>5.3911213163453331</v>
      </c>
      <c r="P50" s="37">
        <f t="shared" si="43"/>
        <v>5.9152228096201283</v>
      </c>
    </row>
    <row r="51" spans="1:19" s="37" customFormat="1">
      <c r="A51" s="37" t="s">
        <v>79</v>
      </c>
      <c r="B51" s="37">
        <f t="shared" ref="B51" si="44">+B41/B47</f>
        <v>9.7467745018108261</v>
      </c>
      <c r="C51" s="37">
        <f t="shared" ref="C51:D51" si="45">+C41/C47</f>
        <v>9.5647015244228815</v>
      </c>
      <c r="D51" s="37">
        <f t="shared" si="45"/>
        <v>8.6245313834176081</v>
      </c>
      <c r="E51" s="37">
        <f t="shared" ref="E51:F51" si="46">+E41/E47</f>
        <v>8.503035776968165</v>
      </c>
      <c r="F51" s="37">
        <f t="shared" si="46"/>
        <v>8.3013300318034489</v>
      </c>
      <c r="G51" s="37">
        <f t="shared" ref="G51:H51" si="47">+G41/G47</f>
        <v>8.2408673611069183</v>
      </c>
      <c r="H51" s="37">
        <f t="shared" si="47"/>
        <v>6.7154180275430146</v>
      </c>
      <c r="I51" s="37">
        <f t="shared" ref="I51:J51" si="48">+I41/I47</f>
        <v>6.7515650401027489</v>
      </c>
      <c r="J51" s="37">
        <f t="shared" si="48"/>
        <v>6.9467064149310556</v>
      </c>
      <c r="K51" s="37">
        <f t="shared" ref="K51:P51" si="49">+K41/K47</f>
        <v>6.8029714428531065</v>
      </c>
      <c r="L51" s="37">
        <f t="shared" si="49"/>
        <v>6.9414301924198636</v>
      </c>
      <c r="M51" s="37">
        <f t="shared" si="49"/>
        <v>7.4476477836339523</v>
      </c>
      <c r="N51" s="37">
        <f t="shared" si="49"/>
        <v>7.0356654603940489</v>
      </c>
      <c r="O51" s="37">
        <f t="shared" si="49"/>
        <v>7.2419348365575811</v>
      </c>
      <c r="P51" s="37">
        <f t="shared" si="49"/>
        <v>7.549415879887766</v>
      </c>
    </row>
    <row r="52" spans="1:19" s="37" customFormat="1">
      <c r="A52" s="37" t="s">
        <v>80</v>
      </c>
      <c r="B52" s="37">
        <f t="shared" ref="B52" si="50">+(B41-B44)/B47</f>
        <v>8.8830933815898021</v>
      </c>
      <c r="C52" s="37">
        <f t="shared" ref="C52:D52" si="51">+(C41-C44)/C47</f>
        <v>8.5045436157745691</v>
      </c>
      <c r="D52" s="37">
        <f t="shared" si="51"/>
        <v>7.5690187612264204</v>
      </c>
      <c r="E52" s="37">
        <f t="shared" ref="E52:F52" si="52">+(E41-E44)/E47</f>
        <v>6.9742688249427376</v>
      </c>
      <c r="F52" s="37">
        <f t="shared" si="52"/>
        <v>6.7049538987483315</v>
      </c>
      <c r="G52" s="37">
        <f t="shared" ref="G52:H52" si="53">+(G41-G44)/G47</f>
        <v>6.7376508460660798</v>
      </c>
      <c r="H52" s="37">
        <f t="shared" si="53"/>
        <v>6.4579166526370138</v>
      </c>
      <c r="I52" s="37">
        <f t="shared" ref="I52:J52" si="54">+(I41-I44)/I47</f>
        <v>6.2688377387977257</v>
      </c>
      <c r="J52" s="37">
        <f t="shared" si="54"/>
        <v>6.3576338493752784</v>
      </c>
      <c r="K52" s="37">
        <f t="shared" ref="K52:P52" si="55">+(K41-K44)/K47</f>
        <v>6.4649722438689681</v>
      </c>
      <c r="L52" s="37">
        <f t="shared" si="55"/>
        <v>6.6478357148093492</v>
      </c>
      <c r="M52" s="37">
        <f t="shared" si="55"/>
        <v>6.8048901271205429</v>
      </c>
      <c r="N52" s="37">
        <f t="shared" si="55"/>
        <v>6.1078860072376351</v>
      </c>
      <c r="O52" s="37">
        <f t="shared" si="55"/>
        <v>6.3858864364202708</v>
      </c>
      <c r="P52" s="37">
        <f t="shared" si="55"/>
        <v>6.8429967452164853</v>
      </c>
    </row>
    <row r="53" spans="1:19" s="38" customFormat="1">
      <c r="A53" s="38" t="s">
        <v>81</v>
      </c>
      <c r="B53" s="38">
        <f t="shared" ref="B53" si="56">+B48/B41</f>
        <v>-1.0550287926926135E-2</v>
      </c>
      <c r="C53" s="38">
        <f t="shared" ref="C53:D53" si="57">+C48/C41</f>
        <v>-3.7275188015204515E-3</v>
      </c>
      <c r="D53" s="38">
        <f t="shared" si="57"/>
        <v>-1.3708544009793983E-2</v>
      </c>
      <c r="E53" s="38">
        <f t="shared" ref="E53:F53" si="58">+E48/E41</f>
        <v>1.7695433417383211E-2</v>
      </c>
      <c r="F53" s="38">
        <f t="shared" si="58"/>
        <v>1.7151882924297982E-2</v>
      </c>
      <c r="G53" s="38">
        <f t="shared" ref="G53:H53" si="59">+G48/G41</f>
        <v>1.569528561342251E-2</v>
      </c>
      <c r="H53" s="38">
        <f t="shared" si="59"/>
        <v>4.5291433153118711E-2</v>
      </c>
      <c r="I53" s="38">
        <f t="shared" ref="I53:J53" si="60">+I48/I41</f>
        <v>4.6770429740980363E-2</v>
      </c>
      <c r="J53" s="38">
        <f t="shared" si="60"/>
        <v>2.4793691295685944E-2</v>
      </c>
      <c r="K53" s="38">
        <f t="shared" ref="K53:P53" si="61">+K48/K41</f>
        <v>8.411448259487618E-2</v>
      </c>
      <c r="L53" s="38">
        <f t="shared" si="61"/>
        <v>8.097028610720973E-2</v>
      </c>
      <c r="M53" s="38">
        <f t="shared" si="61"/>
        <v>5.9067790704265564E-2</v>
      </c>
      <c r="N53" s="38">
        <f t="shared" si="61"/>
        <v>0.10316333883002644</v>
      </c>
      <c r="O53" s="38">
        <f t="shared" si="61"/>
        <v>5.4097162679145758E-2</v>
      </c>
      <c r="P53" s="38">
        <f t="shared" si="61"/>
        <v>1.9163138703719315E-2</v>
      </c>
    </row>
    <row r="54" spans="1:19" s="38" customFormat="1">
      <c r="A54" s="39" t="s">
        <v>82</v>
      </c>
      <c r="B54" s="40"/>
      <c r="C54" s="40"/>
      <c r="D54" s="40"/>
      <c r="E54" s="40"/>
      <c r="F54" s="40"/>
      <c r="G54" s="40"/>
      <c r="H54" s="40"/>
      <c r="I54" s="40"/>
      <c r="J54" s="40"/>
      <c r="K54" s="40"/>
      <c r="L54" s="40"/>
      <c r="M54" s="40"/>
      <c r="N54" s="40"/>
      <c r="O54" s="40"/>
      <c r="P54" s="40"/>
      <c r="Q54" s="40"/>
      <c r="R54" s="40"/>
      <c r="S54" s="40"/>
    </row>
    <row r="55" spans="1:19" s="38" customFormat="1">
      <c r="A55" s="38" t="s">
        <v>83</v>
      </c>
      <c r="B55" s="41">
        <f t="shared" ref="B55" si="62">IF(B42=0,IF(B54="","","*"&amp;TEXT(B54,"0.0x")),(B41+B42-B44)/B47)</f>
        <v>12.606518010291595</v>
      </c>
      <c r="C55" s="41">
        <f t="shared" ref="C55:D55" si="63">IF(C42=0,IF(C54="","","*"&amp;TEXT(C54,"0.0x")),(C41+C42-C44)/C47)</f>
        <v>12.1195351793904</v>
      </c>
      <c r="D55" s="41">
        <f t="shared" si="63"/>
        <v>10.914904764208654</v>
      </c>
      <c r="E55" s="41">
        <f t="shared" ref="E55:F55" si="64">IF(E42=0,IF(E54="","","*"&amp;TEXT(E54,"0.0x")),(E41+E42-E44)/E47)</f>
        <v>10.051227133498852</v>
      </c>
      <c r="F55" s="41">
        <f t="shared" si="64"/>
        <v>9.650341558643909</v>
      </c>
      <c r="G55" s="41">
        <f t="shared" ref="G55:H55" si="65">IF(G42=0,IF(G54="","","*"&amp;TEXT(G54,"0.0x")),(G41+G42-G44)/G47)</f>
        <v>9.7096782956733811</v>
      </c>
      <c r="H55" s="41">
        <f t="shared" si="65"/>
        <v>9.4498000306781744</v>
      </c>
      <c r="I55" s="41">
        <f t="shared" ref="I55:J55" si="66">IF(I42=0,IF(I54="","","*"&amp;TEXT(I54,"0.0x")),(I41+I42-I44)/I47)</f>
        <v>9.2894583209836608</v>
      </c>
      <c r="J55" s="41">
        <f t="shared" si="66"/>
        <v>9.385276578275322</v>
      </c>
      <c r="K55" s="41">
        <f t="shared" ref="K55:P55" si="67">IF(K42=0,IF(K54="","","*"&amp;TEXT(K54,"0.0x")),(K41+K42-K44)/K47)</f>
        <v>9.4808547894849582</v>
      </c>
      <c r="L55" s="41">
        <f t="shared" si="67"/>
        <v>9.6826566339751583</v>
      </c>
      <c r="M55" s="41">
        <f t="shared" si="67"/>
        <v>9.8243462657508278</v>
      </c>
      <c r="N55" s="41">
        <f t="shared" si="67"/>
        <v>9.0430608394420222</v>
      </c>
      <c r="O55" s="41">
        <f t="shared" si="67"/>
        <v>9.2426315217310844</v>
      </c>
      <c r="P55" s="41">
        <f t="shared" si="67"/>
        <v>10.025999629240347</v>
      </c>
      <c r="Q55" s="41"/>
      <c r="R55" s="41"/>
    </row>
    <row r="57" spans="1:19" ht="80.25" customHeight="1">
      <c r="A57" s="43" t="s">
        <v>84</v>
      </c>
      <c r="B57" s="44" t="s">
        <v>412</v>
      </c>
      <c r="C57" s="44" t="s">
        <v>412</v>
      </c>
      <c r="D57" s="44" t="s">
        <v>412</v>
      </c>
      <c r="E57" s="44" t="s">
        <v>412</v>
      </c>
      <c r="F57" s="44" t="s">
        <v>412</v>
      </c>
      <c r="G57" s="44" t="s">
        <v>412</v>
      </c>
      <c r="H57" s="44" t="s">
        <v>412</v>
      </c>
      <c r="I57" s="44" t="s">
        <v>412</v>
      </c>
      <c r="J57" s="44" t="s">
        <v>412</v>
      </c>
      <c r="K57" s="44" t="s">
        <v>412</v>
      </c>
      <c r="L57" s="44" t="s">
        <v>412</v>
      </c>
      <c r="M57" s="44"/>
      <c r="N57" s="44"/>
      <c r="O57" s="44"/>
      <c r="P57" s="44"/>
      <c r="Q57" s="44"/>
      <c r="R57" s="44"/>
      <c r="S57" s="44"/>
    </row>
    <row r="58" spans="1:19">
      <c r="A58" s="45"/>
      <c r="B58" s="42"/>
      <c r="C58" s="42"/>
      <c r="D58" s="42"/>
      <c r="E58" s="42"/>
      <c r="F58" s="42"/>
      <c r="G58" s="42"/>
      <c r="H58" s="42"/>
      <c r="I58" s="42"/>
      <c r="J58" s="42"/>
      <c r="K58" s="42"/>
      <c r="L58" s="42"/>
      <c r="M58" s="42"/>
      <c r="N58" s="42"/>
      <c r="O58" s="42"/>
      <c r="P58" s="42"/>
    </row>
    <row r="59" spans="1:19">
      <c r="A59" s="45"/>
    </row>
  </sheetData>
  <pageMargins left="0.7" right="0.7" top="0.75" bottom="0.75" header="0.3" footer="0.3"/>
  <pageSetup orientation="portrait" r:id="rId1"/>
  <legacy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FF0000"/>
  </sheetPr>
  <dimension ref="A2:M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0" width="10.6640625" style="14" customWidth="1"/>
    <col min="11" max="16384" width="9.109375" style="14"/>
  </cols>
  <sheetData>
    <row r="2" spans="1:13">
      <c r="A2" s="13" t="s">
        <v>44</v>
      </c>
      <c r="B2" s="14" t="s">
        <v>26</v>
      </c>
    </row>
    <row r="3" spans="1:13" s="16" customFormat="1">
      <c r="A3" s="15" t="s">
        <v>45</v>
      </c>
      <c r="B3" s="16" t="s">
        <v>106</v>
      </c>
    </row>
    <row r="4" spans="1:13">
      <c r="A4" s="13" t="s">
        <v>2</v>
      </c>
      <c r="B4" s="14" t="s">
        <v>4</v>
      </c>
    </row>
    <row r="5" spans="1:13">
      <c r="A5" s="13" t="s">
        <v>46</v>
      </c>
    </row>
    <row r="6" spans="1:13">
      <c r="A6" s="13" t="s">
        <v>47</v>
      </c>
    </row>
    <row r="7" spans="1:13">
      <c r="A7" s="13" t="s">
        <v>48</v>
      </c>
      <c r="B7" s="14" t="e">
        <v>#N/A</v>
      </c>
    </row>
    <row r="8" spans="1:13">
      <c r="A8" s="13" t="s">
        <v>347</v>
      </c>
      <c r="B8" s="14" t="e">
        <v>#N/A</v>
      </c>
    </row>
    <row r="9" spans="1:13">
      <c r="A9" s="17"/>
    </row>
    <row r="10" spans="1:13">
      <c r="A10" s="17" t="s">
        <v>49</v>
      </c>
      <c r="B10" s="18">
        <v>43008</v>
      </c>
      <c r="C10" s="18">
        <v>42916</v>
      </c>
      <c r="D10" s="18">
        <v>42825</v>
      </c>
      <c r="E10" s="18">
        <v>42735</v>
      </c>
      <c r="F10" s="18">
        <v>42643</v>
      </c>
      <c r="G10" s="18">
        <v>42551</v>
      </c>
      <c r="H10" s="18">
        <v>42460</v>
      </c>
      <c r="I10" s="18">
        <v>42369</v>
      </c>
      <c r="J10" s="18">
        <v>42277</v>
      </c>
      <c r="M10" s="14" t="s">
        <v>107</v>
      </c>
    </row>
    <row r="12" spans="1:13">
      <c r="A12" s="19" t="s">
        <v>50</v>
      </c>
      <c r="B12" s="20">
        <v>991.40800000000002</v>
      </c>
      <c r="C12" s="20">
        <v>948.73599999999999</v>
      </c>
      <c r="D12" s="20">
        <v>847.78700000000003</v>
      </c>
      <c r="E12" s="20">
        <f>3666.799-H12-G12-F12</f>
        <v>973.16899999999987</v>
      </c>
      <c r="F12" s="20">
        <f>2693.63-H12-G12</f>
        <v>932.47500000000014</v>
      </c>
      <c r="G12" s="20">
        <v>964.60799999999995</v>
      </c>
      <c r="H12" s="20">
        <v>796.54700000000003</v>
      </c>
      <c r="I12" s="20">
        <f>3381.06-M12</f>
        <v>890.94799999999987</v>
      </c>
      <c r="J12" s="20">
        <v>874.33100000000002</v>
      </c>
      <c r="M12" s="14">
        <v>2490.1120000000001</v>
      </c>
    </row>
    <row r="13" spans="1:13" s="21" customFormat="1">
      <c r="A13" s="21" t="s">
        <v>51</v>
      </c>
      <c r="B13" s="21">
        <f>+B12/F12-1</f>
        <v>6.3200622000589624E-2</v>
      </c>
      <c r="C13" s="21">
        <f>+C12/G12-1</f>
        <v>-1.6454352441613529E-2</v>
      </c>
      <c r="D13" s="21">
        <f>+D12/H12-1</f>
        <v>6.4327654237603005E-2</v>
      </c>
      <c r="E13" s="21">
        <f>+E12/I12-1</f>
        <v>9.2284847151573368E-2</v>
      </c>
      <c r="F13" s="21">
        <f>+F12/J12-1</f>
        <v>6.6501130578694001E-2</v>
      </c>
    </row>
    <row r="14" spans="1:13" s="24" customFormat="1">
      <c r="A14" s="22" t="s">
        <v>52</v>
      </c>
      <c r="B14" s="23" t="s">
        <v>3</v>
      </c>
      <c r="C14" s="23" t="s">
        <v>3</v>
      </c>
      <c r="D14" s="23" t="s">
        <v>3</v>
      </c>
      <c r="E14" s="23" t="s">
        <v>3</v>
      </c>
      <c r="F14" s="23" t="s">
        <v>3</v>
      </c>
      <c r="G14" s="22"/>
      <c r="H14" s="22"/>
      <c r="I14" s="22"/>
      <c r="J14" s="22"/>
    </row>
    <row r="16" spans="1:13" s="17" customFormat="1">
      <c r="A16" s="25" t="s">
        <v>53</v>
      </c>
      <c r="B16" s="26">
        <f>B22-B21-B20-B19</f>
        <v>111.6</v>
      </c>
      <c r="C16" s="26">
        <f t="shared" ref="C16:J16" si="0">C22-C21-C20-C19</f>
        <v>114.996</v>
      </c>
      <c r="D16" s="26">
        <f t="shared" si="0"/>
        <v>72.194999999999993</v>
      </c>
      <c r="E16" s="26">
        <f t="shared" si="0"/>
        <v>71.004999999999967</v>
      </c>
      <c r="F16" s="26">
        <f t="shared" si="0"/>
        <v>109.33500000000001</v>
      </c>
      <c r="G16" s="26">
        <f t="shared" si="0"/>
        <v>106.05</v>
      </c>
      <c r="H16" s="26">
        <f t="shared" si="0"/>
        <v>56.426000000000002</v>
      </c>
      <c r="I16" s="26">
        <f t="shared" si="0"/>
        <v>66.874999999999986</v>
      </c>
      <c r="J16" s="26">
        <f t="shared" si="0"/>
        <v>82.134</v>
      </c>
    </row>
    <row r="17" spans="1:13" s="21" customFormat="1">
      <c r="A17" s="21" t="s">
        <v>54</v>
      </c>
      <c r="B17" s="21">
        <f>+B16/B12</f>
        <v>0.11256717718638541</v>
      </c>
      <c r="C17" s="21">
        <f>+C16/C12</f>
        <v>0.12120969373988127</v>
      </c>
      <c r="D17" s="21">
        <f t="shared" ref="D17:I17" si="1">+D16/D12</f>
        <v>8.5157002879260937E-2</v>
      </c>
      <c r="E17" s="21">
        <f t="shared" si="1"/>
        <v>7.2962661161627612E-2</v>
      </c>
      <c r="F17" s="21">
        <f t="shared" si="1"/>
        <v>0.11725247325665566</v>
      </c>
      <c r="G17" s="21">
        <f t="shared" si="1"/>
        <v>0.10994103304140128</v>
      </c>
      <c r="H17" s="21">
        <f t="shared" si="1"/>
        <v>7.0838255620823382E-2</v>
      </c>
      <c r="I17" s="21">
        <f t="shared" si="1"/>
        <v>7.5060497357870487E-2</v>
      </c>
    </row>
    <row r="18" spans="1:13" s="24" customFormat="1"/>
    <row r="19" spans="1:13" s="24" customFormat="1">
      <c r="A19" s="19" t="s">
        <v>55</v>
      </c>
      <c r="B19" s="20">
        <v>0</v>
      </c>
      <c r="C19" s="20">
        <v>0</v>
      </c>
      <c r="D19" s="20">
        <v>0</v>
      </c>
      <c r="E19" s="20">
        <v>0</v>
      </c>
      <c r="F19" s="20">
        <v>0</v>
      </c>
      <c r="G19" s="20">
        <v>0</v>
      </c>
      <c r="H19" s="20">
        <v>0</v>
      </c>
      <c r="I19" s="20">
        <v>0</v>
      </c>
      <c r="J19" s="20">
        <v>0</v>
      </c>
    </row>
    <row r="20" spans="1:13" s="24" customFormat="1">
      <c r="A20" s="19" t="s">
        <v>56</v>
      </c>
      <c r="B20" s="20">
        <v>2.2999999999999998</v>
      </c>
      <c r="C20" s="20">
        <v>0.57699999999999996</v>
      </c>
      <c r="D20" s="20">
        <v>1.18</v>
      </c>
      <c r="E20" s="20">
        <f>18.353-H20-H20-F20</f>
        <v>8.6090000000000018</v>
      </c>
      <c r="F20" s="20">
        <v>3.944</v>
      </c>
      <c r="G20" s="20">
        <v>5.2779999999999996</v>
      </c>
      <c r="H20" s="20">
        <v>2.9</v>
      </c>
      <c r="I20" s="20">
        <f>31.031-M20</f>
        <v>15.055999999999999</v>
      </c>
      <c r="J20" s="20">
        <v>2.528</v>
      </c>
      <c r="M20" s="24">
        <v>15.975</v>
      </c>
    </row>
    <row r="21" spans="1:13" s="24" customFormat="1">
      <c r="A21" s="19" t="s">
        <v>57</v>
      </c>
      <c r="B21" s="20">
        <v>14.3</v>
      </c>
      <c r="C21" s="20">
        <v>9.7539999999999996</v>
      </c>
      <c r="D21" s="20">
        <v>7.5869999999999997</v>
      </c>
      <c r="E21" s="20">
        <f>30.585-H21-G21-F21</f>
        <v>24.066000000000003</v>
      </c>
      <c r="F21" s="20">
        <v>3.27</v>
      </c>
      <c r="G21" s="20">
        <v>1.419</v>
      </c>
      <c r="H21" s="20">
        <v>1.83</v>
      </c>
      <c r="I21" s="20">
        <f>18.893-M21</f>
        <v>-3.84</v>
      </c>
      <c r="J21" s="20">
        <v>13.712999999999999</v>
      </c>
      <c r="M21" s="24">
        <v>22.733000000000001</v>
      </c>
    </row>
    <row r="22" spans="1:13" s="17" customFormat="1">
      <c r="A22" s="17" t="s">
        <v>58</v>
      </c>
      <c r="B22" s="27">
        <v>128.19999999999999</v>
      </c>
      <c r="C22" s="27">
        <v>125.327</v>
      </c>
      <c r="D22" s="27">
        <v>80.962000000000003</v>
      </c>
      <c r="E22" s="27">
        <f>394.132-H22-G22-F22</f>
        <v>103.67999999999998</v>
      </c>
      <c r="F22" s="27">
        <v>116.54900000000001</v>
      </c>
      <c r="G22" s="27">
        <v>112.747</v>
      </c>
      <c r="H22" s="27">
        <v>61.155999999999999</v>
      </c>
      <c r="I22" s="27">
        <f>310.986-M22</f>
        <v>78.09099999999998</v>
      </c>
      <c r="J22" s="27">
        <v>98.375</v>
      </c>
      <c r="M22" s="17">
        <v>232.89500000000001</v>
      </c>
    </row>
    <row r="23" spans="1:13" s="17" customFormat="1">
      <c r="B23" s="27"/>
      <c r="C23" s="27"/>
      <c r="D23" s="27"/>
      <c r="E23" s="27"/>
      <c r="F23" s="27"/>
      <c r="G23" s="27"/>
      <c r="H23" s="27"/>
      <c r="I23" s="27"/>
      <c r="J23" s="27"/>
    </row>
    <row r="24" spans="1:13" s="17" customFormat="1">
      <c r="A24" s="17" t="s">
        <v>59</v>
      </c>
      <c r="B24" s="27">
        <f t="shared" ref="B24:G24" si="2">SUM(B22:E22)</f>
        <v>438.16899999999998</v>
      </c>
      <c r="C24" s="27">
        <f t="shared" si="2"/>
        <v>426.51799999999992</v>
      </c>
      <c r="D24" s="27">
        <f t="shared" si="2"/>
        <v>413.93800000000005</v>
      </c>
      <c r="E24" s="27">
        <f t="shared" si="2"/>
        <v>394.13200000000001</v>
      </c>
      <c r="F24" s="27">
        <f t="shared" si="2"/>
        <v>368.54300000000001</v>
      </c>
      <c r="G24" s="27">
        <f t="shared" si="2"/>
        <v>350.36899999999997</v>
      </c>
      <c r="H24" s="27"/>
      <c r="I24" s="27"/>
      <c r="J24" s="27"/>
    </row>
    <row r="25" spans="1:13" s="24" customFormat="1">
      <c r="A25" s="19" t="s">
        <v>60</v>
      </c>
      <c r="B25" s="28">
        <v>0</v>
      </c>
      <c r="C25" s="28">
        <v>0</v>
      </c>
      <c r="D25" s="28">
        <v>0</v>
      </c>
      <c r="E25" s="28">
        <v>0</v>
      </c>
      <c r="F25" s="28">
        <v>0</v>
      </c>
      <c r="G25" s="28">
        <v>0</v>
      </c>
      <c r="H25" s="28"/>
      <c r="I25" s="28"/>
      <c r="J25" s="28"/>
    </row>
    <row r="26" spans="1:13" s="24" customFormat="1">
      <c r="A26" s="19" t="s">
        <v>61</v>
      </c>
      <c r="B26" s="29">
        <v>0</v>
      </c>
      <c r="C26" s="29">
        <v>0</v>
      </c>
      <c r="D26" s="29">
        <v>0</v>
      </c>
      <c r="E26" s="29">
        <v>0</v>
      </c>
      <c r="F26" s="29">
        <v>0</v>
      </c>
      <c r="G26" s="29">
        <v>0</v>
      </c>
      <c r="H26" s="30"/>
      <c r="I26" s="30"/>
      <c r="J26" s="30"/>
    </row>
    <row r="27" spans="1:13" s="32" customFormat="1">
      <c r="A27" s="17" t="s">
        <v>62</v>
      </c>
      <c r="B27" s="27">
        <f t="shared" ref="B27:G27" si="3">SUM(B24:B26)</f>
        <v>438.16899999999998</v>
      </c>
      <c r="C27" s="27">
        <f t="shared" si="3"/>
        <v>426.51799999999992</v>
      </c>
      <c r="D27" s="27">
        <f t="shared" si="3"/>
        <v>413.93800000000005</v>
      </c>
      <c r="E27" s="27">
        <f t="shared" si="3"/>
        <v>394.13200000000001</v>
      </c>
      <c r="F27" s="27">
        <f t="shared" si="3"/>
        <v>368.54300000000001</v>
      </c>
      <c r="G27" s="27">
        <f t="shared" si="3"/>
        <v>350.36899999999997</v>
      </c>
      <c r="H27" s="31"/>
      <c r="I27" s="31"/>
      <c r="J27" s="31"/>
    </row>
    <row r="28" spans="1:13" s="24" customFormat="1"/>
    <row r="29" spans="1:13" s="17" customFormat="1">
      <c r="A29" s="17" t="s">
        <v>58</v>
      </c>
      <c r="B29" s="27">
        <f t="shared" ref="B29:I29" si="4">B22</f>
        <v>128.19999999999999</v>
      </c>
      <c r="C29" s="27">
        <f t="shared" si="4"/>
        <v>125.327</v>
      </c>
      <c r="D29" s="27">
        <f t="shared" si="4"/>
        <v>80.962000000000003</v>
      </c>
      <c r="E29" s="27">
        <f t="shared" si="4"/>
        <v>103.67999999999998</v>
      </c>
      <c r="F29" s="27">
        <f t="shared" si="4"/>
        <v>116.54900000000001</v>
      </c>
      <c r="G29" s="27">
        <f t="shared" si="4"/>
        <v>112.747</v>
      </c>
      <c r="H29" s="27">
        <f t="shared" si="4"/>
        <v>61.155999999999999</v>
      </c>
      <c r="I29" s="27">
        <f t="shared" si="4"/>
        <v>78.09099999999998</v>
      </c>
      <c r="J29" s="27"/>
    </row>
    <row r="30" spans="1:13" s="33" customFormat="1">
      <c r="A30" s="20" t="s">
        <v>63</v>
      </c>
      <c r="B30" s="20">
        <f>-61.639+8.437-D30-C30</f>
        <v>-16.139000000000003</v>
      </c>
      <c r="C30" s="20">
        <f>-44.439+7.376-D30</f>
        <v>-16.490000000000002</v>
      </c>
      <c r="D30" s="20">
        <f>-26.892+6.319</f>
        <v>-20.573</v>
      </c>
      <c r="E30" s="20">
        <v>-78.415999999999997</v>
      </c>
      <c r="F30" s="20">
        <f>-53.725+2.77-H30-G30</f>
        <v>-17.607000000000003</v>
      </c>
      <c r="G30" s="20">
        <f>-35.178+1.83-H30</f>
        <v>-17.227</v>
      </c>
      <c r="H30" s="20">
        <f>-17.011+0.89</f>
        <v>-16.120999999999999</v>
      </c>
      <c r="I30" s="20">
        <v>-62.284999999999997</v>
      </c>
      <c r="J30" s="20"/>
      <c r="M30" s="33">
        <f>-40.549+3.267</f>
        <v>-37.281999999999996</v>
      </c>
    </row>
    <row r="31" spans="1:13" s="33" customFormat="1">
      <c r="A31" s="20" t="s">
        <v>64</v>
      </c>
      <c r="B31" s="20">
        <f>-32.997+13.171-D31-C31</f>
        <v>-8.4219999999999988</v>
      </c>
      <c r="C31" s="20">
        <f>-19.95+8.546-D31</f>
        <v>-8.5570000000000004</v>
      </c>
      <c r="D31" s="20">
        <f>-2.252-0.595</f>
        <v>-2.8469999999999995</v>
      </c>
      <c r="E31" s="20">
        <f>225.596-247.021-H31-G31-F31</f>
        <v>4.3690000000000175</v>
      </c>
      <c r="F31" s="20">
        <f>5.633-31.427-H31-G31</f>
        <v>-14.027999999999997</v>
      </c>
      <c r="G31" s="20">
        <f>13.616-25.382-H31</f>
        <v>-10.486000000000002</v>
      </c>
      <c r="H31" s="20">
        <f>-2.097+0.817</f>
        <v>-1.28</v>
      </c>
      <c r="I31" s="20">
        <f>5.435-18.862-M31</f>
        <v>-5.7959999999999994</v>
      </c>
      <c r="J31" s="20"/>
      <c r="M31" s="33">
        <f>-7.575-0.056</f>
        <v>-7.6310000000000002</v>
      </c>
    </row>
    <row r="32" spans="1:13" s="33" customFormat="1">
      <c r="A32" s="20" t="s">
        <v>65</v>
      </c>
      <c r="B32" s="20">
        <f>-75.424-26.387-2.7+59.48-D32-C32</f>
        <v>19.02999999999998</v>
      </c>
      <c r="C32" s="20">
        <f>-64.755-23.559-1.383+25.636-D32</f>
        <v>-14.045999999999999</v>
      </c>
      <c r="D32" s="20">
        <f>-27.26-27.409+1.451+3.203</f>
        <v>-50.014999999999993</v>
      </c>
      <c r="E32" s="20">
        <f>-80.31+10.089-10.871+27.863+0.765-H32-G32-F32</f>
        <v>23.155000000000015</v>
      </c>
      <c r="F32" s="20">
        <f>-153.755-2.763-4.014+84.913-H32-G32</f>
        <v>19.829999999999998</v>
      </c>
      <c r="G32" s="20">
        <f>-138.362-19.067-1.346+63.326-H32</f>
        <v>-33.103000000000009</v>
      </c>
      <c r="H32" s="20">
        <f>-73.446-24.912+2.077+33.935</f>
        <v>-62.346000000000004</v>
      </c>
      <c r="I32" s="20">
        <f>-3.904+2.872-7.023-28.225+11.634-M32</f>
        <v>75.759</v>
      </c>
      <c r="J32" s="20"/>
      <c r="M32" s="33">
        <f>-91.511-33.46-10.879+35.445</f>
        <v>-100.405</v>
      </c>
    </row>
    <row r="33" spans="1:13" s="33" customFormat="1">
      <c r="A33" s="20" t="s">
        <v>66</v>
      </c>
      <c r="B33" s="20">
        <v>0</v>
      </c>
      <c r="C33" s="20">
        <v>0</v>
      </c>
      <c r="D33" s="20">
        <v>0</v>
      </c>
      <c r="E33" s="20">
        <v>0</v>
      </c>
      <c r="F33" s="20">
        <v>0</v>
      </c>
      <c r="G33" s="20">
        <v>0</v>
      </c>
      <c r="H33" s="20">
        <v>0</v>
      </c>
      <c r="I33" s="20">
        <v>0</v>
      </c>
      <c r="J33" s="20"/>
    </row>
    <row r="34" spans="1:13" s="33" customFormat="1">
      <c r="A34" s="20" t="s">
        <v>57</v>
      </c>
      <c r="B34" s="29">
        <v>0</v>
      </c>
      <c r="C34" s="29">
        <v>0</v>
      </c>
      <c r="D34" s="29">
        <v>0</v>
      </c>
      <c r="E34" s="29">
        <v>0</v>
      </c>
      <c r="F34" s="29">
        <v>0</v>
      </c>
      <c r="G34" s="29">
        <v>0</v>
      </c>
      <c r="H34" s="29">
        <v>0</v>
      </c>
      <c r="I34" s="29">
        <v>0</v>
      </c>
      <c r="J34" s="29"/>
    </row>
    <row r="35" spans="1:13" s="27" customFormat="1">
      <c r="A35" s="27" t="s">
        <v>67</v>
      </c>
      <c r="B35" s="27">
        <f>174.127-D35-C35</f>
        <v>107.97600000000003</v>
      </c>
      <c r="C35" s="27">
        <f>66.151-D35</f>
        <v>75.635999999999996</v>
      </c>
      <c r="D35" s="27">
        <v>-9.4849999999999994</v>
      </c>
      <c r="E35" s="27">
        <f>201.583-H35-G35-F35</f>
        <v>91.393000000000001</v>
      </c>
      <c r="F35" s="27">
        <f>110.19-H35-G35</f>
        <v>97.597000000000008</v>
      </c>
      <c r="G35" s="27">
        <f>12.593-H35</f>
        <v>40.79</v>
      </c>
      <c r="H35" s="27">
        <v>-28.196999999999999</v>
      </c>
      <c r="I35" s="27">
        <f>172.339-M35</f>
        <v>127.601</v>
      </c>
      <c r="M35" s="27">
        <v>44.738</v>
      </c>
    </row>
    <row r="36" spans="1:13" s="33" customFormat="1">
      <c r="A36" s="20" t="s">
        <v>68</v>
      </c>
      <c r="B36" s="29">
        <f>-29.81-D36-C36</f>
        <v>-11.599999999999998</v>
      </c>
      <c r="C36" s="29">
        <f>-18.21-D36</f>
        <v>-8.9740000000000002</v>
      </c>
      <c r="D36" s="29">
        <v>-9.2360000000000007</v>
      </c>
      <c r="E36" s="29">
        <f>-74.033-H36-G36-F36</f>
        <v>-16.057000000000006</v>
      </c>
      <c r="F36" s="29">
        <f>-57.976-H36-G36</f>
        <v>-17.95</v>
      </c>
      <c r="G36" s="29">
        <f>-40.026-H36</f>
        <v>-21.717000000000002</v>
      </c>
      <c r="H36" s="29">
        <v>-18.309000000000001</v>
      </c>
      <c r="I36" s="29">
        <f>-74.978-M36</f>
        <v>-23.719999999999992</v>
      </c>
      <c r="J36" s="29"/>
      <c r="M36" s="33">
        <v>-51.258000000000003</v>
      </c>
    </row>
    <row r="37" spans="1:13" s="27" customFormat="1">
      <c r="A37" s="27" t="s">
        <v>69</v>
      </c>
      <c r="B37" s="27">
        <f>+B35+B36</f>
        <v>96.376000000000033</v>
      </c>
      <c r="C37" s="27">
        <f>+C35+C36</f>
        <v>66.661999999999992</v>
      </c>
      <c r="D37" s="27">
        <f t="shared" ref="D37:I37" si="5">+D35+D36</f>
        <v>-18.721</v>
      </c>
      <c r="E37" s="27">
        <f t="shared" si="5"/>
        <v>75.335999999999999</v>
      </c>
      <c r="F37" s="27">
        <f t="shared" si="5"/>
        <v>79.647000000000006</v>
      </c>
      <c r="G37" s="27">
        <f t="shared" si="5"/>
        <v>19.072999999999997</v>
      </c>
      <c r="H37" s="27">
        <f t="shared" si="5"/>
        <v>-46.506</v>
      </c>
      <c r="I37" s="27">
        <f t="shared" si="5"/>
        <v>103.881</v>
      </c>
    </row>
    <row r="39" spans="1:13" s="35" customFormat="1">
      <c r="A39" s="34" t="s">
        <v>70</v>
      </c>
      <c r="B39" s="20">
        <v>0</v>
      </c>
      <c r="C39" s="20">
        <v>0.83499999999999996</v>
      </c>
      <c r="D39" s="20">
        <v>0</v>
      </c>
      <c r="E39" s="20">
        <v>0.74199999999999999</v>
      </c>
      <c r="F39" s="20">
        <v>15</v>
      </c>
      <c r="G39" s="20"/>
      <c r="H39" s="20"/>
      <c r="I39" s="20"/>
      <c r="J39" s="20"/>
    </row>
    <row r="40" spans="1:13" s="35" customFormat="1">
      <c r="A40" s="34" t="s">
        <v>71</v>
      </c>
      <c r="B40" s="20">
        <f>1221.162+6.201+33.048</f>
        <v>1260.4110000000001</v>
      </c>
      <c r="C40" s="20">
        <f>1223.929+6.526+31.977</f>
        <v>1262.4320000000002</v>
      </c>
      <c r="D40" s="20">
        <f>1226.695+6.851+29.871</f>
        <v>1263.4170000000001</v>
      </c>
      <c r="E40" s="20">
        <f>1603.551+8.086+29.505</f>
        <v>1641.1420000000001</v>
      </c>
      <c r="F40" s="20">
        <f>1232.222+7.553+31.282</f>
        <v>1271.057</v>
      </c>
      <c r="G40" s="20"/>
      <c r="H40" s="20"/>
      <c r="I40" s="20"/>
      <c r="J40" s="20"/>
    </row>
    <row r="41" spans="1:13" s="35" customFormat="1">
      <c r="A41" s="34" t="s">
        <v>72</v>
      </c>
      <c r="B41" s="20">
        <f>B39+B40+11.273+2.017</f>
        <v>1273.701</v>
      </c>
      <c r="C41" s="20">
        <f>C39+C40+4.144+2.078+0.105</f>
        <v>1269.5940000000003</v>
      </c>
      <c r="D41" s="20">
        <f>D39+D40+4.898+2.253+0.16</f>
        <v>1270.7280000000001</v>
      </c>
      <c r="E41" s="20">
        <f>E39+E40+5.88+3.26+0.205</f>
        <v>1651.229</v>
      </c>
      <c r="F41" s="20">
        <f>F39+F40+6.097+3.444+0.25</f>
        <v>1295.848</v>
      </c>
      <c r="G41" s="20"/>
      <c r="H41" s="20"/>
      <c r="I41" s="20"/>
      <c r="J41" s="20"/>
    </row>
    <row r="42" spans="1:13" s="35" customFormat="1">
      <c r="A42" s="34" t="s">
        <v>73</v>
      </c>
      <c r="B42" s="36">
        <f>105414143/1000000*39.92</f>
        <v>4208.1325885599999</v>
      </c>
      <c r="C42" s="36">
        <f>105239833/1000000*32.46</f>
        <v>3416.0849791800001</v>
      </c>
      <c r="D42" s="36">
        <f>104938028/1000000*32.85</f>
        <v>3447.2142198000001</v>
      </c>
      <c r="E42" s="36">
        <f>104889272/1000000*27.07</f>
        <v>2839.3525930400001</v>
      </c>
      <c r="F42" s="36">
        <v>0</v>
      </c>
      <c r="G42" s="36"/>
      <c r="H42" s="36"/>
      <c r="I42" s="36"/>
      <c r="J42" s="36"/>
    </row>
    <row r="43" spans="1:13">
      <c r="B43" s="35"/>
      <c r="C43" s="35"/>
      <c r="D43" s="35"/>
      <c r="E43" s="35"/>
    </row>
    <row r="44" spans="1:13">
      <c r="A44" s="19" t="s">
        <v>74</v>
      </c>
      <c r="B44" s="28">
        <v>219.45699999999999</v>
      </c>
      <c r="C44" s="28">
        <v>227.66300000000001</v>
      </c>
      <c r="D44" s="28">
        <v>185.505</v>
      </c>
      <c r="E44" s="28">
        <v>102.70099999999999</v>
      </c>
      <c r="F44" s="28">
        <v>65.356999999999999</v>
      </c>
      <c r="G44" s="28"/>
      <c r="H44" s="28"/>
      <c r="I44" s="28"/>
      <c r="J44" s="28"/>
    </row>
    <row r="46" spans="1:13">
      <c r="A46" s="14" t="s">
        <v>75</v>
      </c>
      <c r="B46" s="33">
        <f t="shared" ref="B46:G46" si="6">SUM(B12:E12)</f>
        <v>3761.1</v>
      </c>
      <c r="C46" s="33">
        <f t="shared" si="6"/>
        <v>3702.1670000000004</v>
      </c>
      <c r="D46" s="33">
        <f t="shared" si="6"/>
        <v>3718.0389999999998</v>
      </c>
      <c r="E46" s="33">
        <f t="shared" si="6"/>
        <v>3666.799</v>
      </c>
      <c r="F46" s="33">
        <f t="shared" si="6"/>
        <v>3584.578</v>
      </c>
      <c r="G46" s="33">
        <f t="shared" si="6"/>
        <v>3526.4340000000002</v>
      </c>
    </row>
    <row r="47" spans="1:13">
      <c r="A47" s="14" t="s">
        <v>76</v>
      </c>
      <c r="B47" s="33">
        <f t="shared" ref="B47:G47" si="7">+B27</f>
        <v>438.16899999999998</v>
      </c>
      <c r="C47" s="33">
        <f t="shared" si="7"/>
        <v>426.51799999999992</v>
      </c>
      <c r="D47" s="33">
        <f t="shared" si="7"/>
        <v>413.93800000000005</v>
      </c>
      <c r="E47" s="33">
        <f t="shared" si="7"/>
        <v>394.13200000000001</v>
      </c>
      <c r="F47" s="33">
        <f t="shared" si="7"/>
        <v>368.54300000000001</v>
      </c>
      <c r="G47" s="33">
        <f t="shared" si="7"/>
        <v>350.36899999999997</v>
      </c>
    </row>
    <row r="48" spans="1:13">
      <c r="A48" s="14" t="s">
        <v>77</v>
      </c>
      <c r="B48" s="33">
        <f t="shared" ref="B48:G48" si="8">+SUM(B37:E37)</f>
        <v>219.65300000000002</v>
      </c>
      <c r="C48" s="33">
        <f t="shared" si="8"/>
        <v>202.92399999999998</v>
      </c>
      <c r="D48" s="33">
        <f t="shared" si="8"/>
        <v>155.33500000000001</v>
      </c>
      <c r="E48" s="33">
        <f t="shared" si="8"/>
        <v>127.55000000000001</v>
      </c>
      <c r="F48" s="33">
        <f t="shared" si="8"/>
        <v>156.095</v>
      </c>
      <c r="G48" s="33">
        <f t="shared" si="8"/>
        <v>76.447999999999993</v>
      </c>
    </row>
    <row r="50" spans="1:10" s="37" customFormat="1">
      <c r="A50" s="37" t="s">
        <v>78</v>
      </c>
      <c r="B50" s="37">
        <f>+SUM(B39:B40)/B47</f>
        <v>2.8765407867740533</v>
      </c>
      <c r="C50" s="37">
        <f>+SUM(C39:C40)/C47</f>
        <v>2.9618140383289817</v>
      </c>
      <c r="D50" s="37">
        <f>+SUM(D39:D40)/D47</f>
        <v>3.0521889751605311</v>
      </c>
      <c r="E50" s="37">
        <f>+SUM(E39:E40)/E47</f>
        <v>4.1658226178031725</v>
      </c>
      <c r="F50" s="37">
        <f>+SUM(F39:F40)/F47</f>
        <v>3.4895710948247558</v>
      </c>
    </row>
    <row r="51" spans="1:10" s="37" customFormat="1">
      <c r="A51" s="37" t="s">
        <v>79</v>
      </c>
      <c r="B51" s="37">
        <f>+B41/B47</f>
        <v>2.9068715495619273</v>
      </c>
      <c r="C51" s="37">
        <f>+C41/C47</f>
        <v>2.9766481133269886</v>
      </c>
      <c r="D51" s="37">
        <f>+D41/D47</f>
        <v>3.0698510404939867</v>
      </c>
      <c r="E51" s="37">
        <f>+E41/E47</f>
        <v>4.1895329483523289</v>
      </c>
      <c r="F51" s="37">
        <f>+F41/F47</f>
        <v>3.5161378726498671</v>
      </c>
    </row>
    <row r="52" spans="1:10" s="37" customFormat="1">
      <c r="A52" s="37" t="s">
        <v>80</v>
      </c>
      <c r="B52" s="37">
        <f>+(B41-B44)/B47</f>
        <v>2.4060214209585804</v>
      </c>
      <c r="C52" s="37">
        <f>+(C41-C44)/C47</f>
        <v>2.4428769711946519</v>
      </c>
      <c r="D52" s="37">
        <f>+(D41-D44)/D47</f>
        <v>2.6217042165734963</v>
      </c>
      <c r="E52" s="37">
        <f>+(E41-E44)/E47</f>
        <v>3.9289578110886709</v>
      </c>
      <c r="F52" s="37">
        <f>+(F41-F44)/F47</f>
        <v>3.3387990003880144</v>
      </c>
    </row>
    <row r="53" spans="1:10" s="38" customFormat="1">
      <c r="A53" s="38" t="s">
        <v>81</v>
      </c>
      <c r="B53" s="38">
        <f>+B48/B41</f>
        <v>0.17245256147243349</v>
      </c>
      <c r="C53" s="38">
        <f>+C48/C41</f>
        <v>0.15983377363157036</v>
      </c>
      <c r="D53" s="38">
        <f>+D48/D41</f>
        <v>0.12224095164346736</v>
      </c>
      <c r="E53" s="38">
        <f>+E48/E41</f>
        <v>7.724549411377829E-2</v>
      </c>
      <c r="F53" s="38">
        <f>+F48/F41</f>
        <v>0.12045780060624395</v>
      </c>
    </row>
    <row r="54" spans="1:10" s="38" customFormat="1">
      <c r="A54" s="39" t="s">
        <v>82</v>
      </c>
      <c r="B54" s="40"/>
      <c r="C54" s="40"/>
      <c r="D54" s="40"/>
      <c r="E54" s="40"/>
      <c r="F54" s="40">
        <v>10</v>
      </c>
      <c r="G54" s="40"/>
      <c r="H54" s="39"/>
      <c r="I54" s="39"/>
      <c r="J54" s="39"/>
    </row>
    <row r="55" spans="1:10" s="38" customFormat="1">
      <c r="A55" s="38" t="s">
        <v>83</v>
      </c>
      <c r="B55" s="41">
        <f t="shared" ref="B55:G55" si="9">IF(B42=0,IF(B54="","","*"&amp;TEXT(B54,"0.0x")),(B41+B42-B44)/B47)</f>
        <v>12.009924455084681</v>
      </c>
      <c r="C55" s="41">
        <f t="shared" si="9"/>
        <v>10.452116860671767</v>
      </c>
      <c r="D55" s="41">
        <f t="shared" si="9"/>
        <v>10.949555778401596</v>
      </c>
      <c r="E55" s="41">
        <f t="shared" si="9"/>
        <v>11.133022928967961</v>
      </c>
      <c r="F55" s="41" t="str">
        <f t="shared" si="9"/>
        <v>*10.0x</v>
      </c>
      <c r="G55" s="41" t="str">
        <f t="shared" si="9"/>
        <v/>
      </c>
      <c r="H55" s="41" t="str">
        <f>IF(H42=0,IF(H54="","",CONCATENATE("* ",H54,"x")),(H41+H42-H44)/H47)</f>
        <v/>
      </c>
      <c r="I55" s="41" t="str">
        <f>IF(I42=0,IF(I54="","",CONCATENATE("* ",I54,"x")),(I41+I42-I44)/I47)</f>
        <v/>
      </c>
      <c r="J55" s="41" t="str">
        <f>IF(J42=0,IF(J54="","",CONCATENATE("* ",J54,"x")),(J41+J42-J44)/J47)</f>
        <v/>
      </c>
    </row>
    <row r="56" spans="1:10">
      <c r="G56" s="42"/>
    </row>
    <row r="57" spans="1:10" ht="80.25" customHeight="1">
      <c r="A57" s="43" t="s">
        <v>84</v>
      </c>
      <c r="B57" s="44"/>
      <c r="C57" s="44"/>
      <c r="D57" s="44"/>
      <c r="E57" s="44"/>
      <c r="F57" s="44"/>
      <c r="G57" s="44"/>
      <c r="H57" s="44"/>
      <c r="I57" s="44"/>
      <c r="J57" s="44"/>
    </row>
    <row r="58" spans="1:10">
      <c r="A58" s="45"/>
      <c r="B58" s="42"/>
      <c r="C58" s="42"/>
    </row>
    <row r="59" spans="1:10">
      <c r="A59" s="45"/>
    </row>
  </sheetData>
  <pageMargins left="0.7" right="0.7" top="0.75" bottom="0.75" header="0.3" footer="0.3"/>
  <pageSetup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FF0000"/>
  </sheetPr>
  <dimension ref="A2:J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ColWidth="9.109375" defaultRowHeight="13.8"/>
  <cols>
    <col min="1" max="1" width="22.6640625" style="14" customWidth="1"/>
    <col min="2" max="10" width="10.6640625" style="14" customWidth="1"/>
    <col min="11" max="16384" width="9.109375" style="14"/>
  </cols>
  <sheetData>
    <row r="2" spans="1:10">
      <c r="A2" s="13" t="s">
        <v>44</v>
      </c>
      <c r="B2" s="14" t="s">
        <v>36</v>
      </c>
    </row>
    <row r="3" spans="1:10" s="16" customFormat="1">
      <c r="A3" s="15" t="s">
        <v>45</v>
      </c>
      <c r="B3" s="16" t="s">
        <v>137</v>
      </c>
    </row>
    <row r="4" spans="1:10">
      <c r="A4" s="13" t="s">
        <v>2</v>
      </c>
      <c r="B4" s="14" t="s">
        <v>4</v>
      </c>
    </row>
    <row r="5" spans="1:10">
      <c r="A5" s="13" t="s">
        <v>46</v>
      </c>
    </row>
    <row r="6" spans="1:10">
      <c r="A6" s="13" t="s">
        <v>47</v>
      </c>
    </row>
    <row r="7" spans="1:10">
      <c r="A7" s="13" t="s">
        <v>48</v>
      </c>
      <c r="B7" s="14" t="e">
        <v>#N/A</v>
      </c>
    </row>
    <row r="8" spans="1:10">
      <c r="A8" s="13" t="s">
        <v>347</v>
      </c>
      <c r="B8" s="14" t="e">
        <v>#N/A</v>
      </c>
    </row>
    <row r="9" spans="1:10">
      <c r="A9" s="17"/>
    </row>
    <row r="10" spans="1:10">
      <c r="A10" s="17" t="s">
        <v>49</v>
      </c>
      <c r="B10" s="18">
        <v>43008</v>
      </c>
      <c r="C10" s="18">
        <v>42916</v>
      </c>
      <c r="D10" s="18">
        <v>42825</v>
      </c>
      <c r="E10" s="18">
        <v>42735</v>
      </c>
      <c r="F10" s="18">
        <v>42643</v>
      </c>
      <c r="G10" s="18">
        <v>42551</v>
      </c>
      <c r="H10" s="18">
        <v>42460</v>
      </c>
      <c r="I10" s="18">
        <v>42369</v>
      </c>
      <c r="J10" s="18">
        <v>42277</v>
      </c>
    </row>
    <row r="12" spans="1:10">
      <c r="A12" s="19" t="s">
        <v>50</v>
      </c>
      <c r="B12" s="20">
        <v>882</v>
      </c>
      <c r="C12" s="20">
        <v>759</v>
      </c>
      <c r="D12" s="20">
        <v>809</v>
      </c>
      <c r="E12" s="20">
        <f>3913-H12-G12-F12</f>
        <v>1067</v>
      </c>
      <c r="F12" s="20">
        <v>1095</v>
      </c>
      <c r="G12" s="20">
        <v>578</v>
      </c>
      <c r="H12" s="20">
        <v>1173</v>
      </c>
      <c r="I12" s="20">
        <f>4481-3359</f>
        <v>1122</v>
      </c>
      <c r="J12" s="20">
        <v>1320</v>
      </c>
    </row>
    <row r="13" spans="1:10" s="21" customFormat="1">
      <c r="A13" s="21" t="s">
        <v>51</v>
      </c>
      <c r="B13" s="21">
        <f>+B12/F12-1</f>
        <v>-0.19452054794520546</v>
      </c>
      <c r="C13" s="21">
        <f>+C12/G12-1</f>
        <v>0.31314878892733566</v>
      </c>
      <c r="D13" s="21">
        <f>+D12/H12-1</f>
        <v>-0.31031543052003407</v>
      </c>
      <c r="E13" s="21">
        <f>+E12/I12-1</f>
        <v>-4.9019607843137303E-2</v>
      </c>
      <c r="F13" s="21">
        <f>+F12/J12-1</f>
        <v>-0.17045454545454541</v>
      </c>
    </row>
    <row r="14" spans="1:10" s="24" customFormat="1">
      <c r="A14" s="22" t="s">
        <v>52</v>
      </c>
      <c r="B14" s="23" t="s">
        <v>3</v>
      </c>
      <c r="C14" s="23" t="s">
        <v>3</v>
      </c>
      <c r="D14" s="23" t="s">
        <v>3</v>
      </c>
      <c r="E14" s="23"/>
      <c r="F14" s="23"/>
      <c r="G14" s="22"/>
      <c r="H14" s="22"/>
      <c r="I14" s="22"/>
      <c r="J14" s="22"/>
    </row>
    <row r="16" spans="1:10" s="17" customFormat="1">
      <c r="A16" s="25" t="s">
        <v>53</v>
      </c>
      <c r="B16" s="20">
        <v>237</v>
      </c>
      <c r="C16" s="20">
        <v>140</v>
      </c>
      <c r="D16" s="20">
        <v>79</v>
      </c>
      <c r="E16" s="20">
        <f>750-H16-G16-F16</f>
        <v>153</v>
      </c>
      <c r="F16" s="20">
        <v>238</v>
      </c>
      <c r="G16" s="20">
        <v>126</v>
      </c>
      <c r="H16" s="20">
        <v>233</v>
      </c>
      <c r="I16" s="26">
        <f>999-765</f>
        <v>234</v>
      </c>
      <c r="J16" s="26">
        <v>357</v>
      </c>
    </row>
    <row r="17" spans="1:10" s="21" customFormat="1">
      <c r="A17" s="21" t="s">
        <v>54</v>
      </c>
      <c r="B17" s="21">
        <f>+B16/B12</f>
        <v>0.2687074829931973</v>
      </c>
      <c r="C17" s="21">
        <f>+C16/C12</f>
        <v>0.1844532279314888</v>
      </c>
      <c r="D17" s="21">
        <f t="shared" ref="D17:J17" si="0">+D16/D12</f>
        <v>9.7651421508034617E-2</v>
      </c>
      <c r="E17" s="21">
        <f t="shared" si="0"/>
        <v>0.14339268978444236</v>
      </c>
      <c r="F17" s="21">
        <f t="shared" si="0"/>
        <v>0.21735159817351599</v>
      </c>
      <c r="G17" s="21">
        <f t="shared" si="0"/>
        <v>0.2179930795847751</v>
      </c>
      <c r="H17" s="21">
        <f t="shared" si="0"/>
        <v>0.19863597612958228</v>
      </c>
      <c r="I17" s="21">
        <f t="shared" si="0"/>
        <v>0.20855614973262032</v>
      </c>
      <c r="J17" s="21">
        <f t="shared" si="0"/>
        <v>0.27045454545454545</v>
      </c>
    </row>
    <row r="18" spans="1:10" s="24" customFormat="1"/>
    <row r="19" spans="1:10" s="24" customFormat="1">
      <c r="A19" s="19" t="s">
        <v>55</v>
      </c>
      <c r="B19" s="20">
        <v>0</v>
      </c>
      <c r="C19" s="20">
        <v>0</v>
      </c>
      <c r="D19" s="20">
        <v>0</v>
      </c>
      <c r="E19" s="20">
        <v>0</v>
      </c>
      <c r="F19" s="20">
        <v>0</v>
      </c>
      <c r="G19" s="20">
        <v>0</v>
      </c>
      <c r="H19" s="20">
        <v>0</v>
      </c>
      <c r="I19" s="20">
        <v>0</v>
      </c>
      <c r="J19" s="20">
        <v>0</v>
      </c>
    </row>
    <row r="20" spans="1:10" s="24" customFormat="1">
      <c r="A20" s="19" t="s">
        <v>56</v>
      </c>
      <c r="B20" s="20">
        <v>0</v>
      </c>
      <c r="C20" s="20">
        <v>0</v>
      </c>
      <c r="D20" s="20">
        <v>0</v>
      </c>
      <c r="E20" s="20">
        <v>0</v>
      </c>
      <c r="F20" s="20">
        <v>0</v>
      </c>
      <c r="G20" s="20">
        <v>0</v>
      </c>
      <c r="H20" s="20">
        <v>0</v>
      </c>
      <c r="I20" s="20">
        <v>0</v>
      </c>
      <c r="J20" s="20">
        <v>0</v>
      </c>
    </row>
    <row r="21" spans="1:10" s="24" customFormat="1">
      <c r="A21" s="19" t="s">
        <v>57</v>
      </c>
      <c r="B21" s="20">
        <v>0</v>
      </c>
      <c r="C21" s="20">
        <v>0</v>
      </c>
      <c r="D21" s="20">
        <v>0</v>
      </c>
      <c r="E21" s="20">
        <v>0</v>
      </c>
      <c r="F21" s="20">
        <v>0</v>
      </c>
      <c r="G21" s="20">
        <v>0</v>
      </c>
      <c r="H21" s="20">
        <v>0</v>
      </c>
      <c r="I21" s="20">
        <v>0</v>
      </c>
      <c r="J21" s="20">
        <v>0</v>
      </c>
    </row>
    <row r="22" spans="1:10" s="17" customFormat="1">
      <c r="A22" s="17" t="s">
        <v>58</v>
      </c>
      <c r="B22" s="27">
        <f t="shared" ref="B22:J22" si="1">SUM(B16,B19:B21)</f>
        <v>237</v>
      </c>
      <c r="C22" s="27">
        <f t="shared" si="1"/>
        <v>140</v>
      </c>
      <c r="D22" s="27">
        <f t="shared" si="1"/>
        <v>79</v>
      </c>
      <c r="E22" s="27">
        <f t="shared" si="1"/>
        <v>153</v>
      </c>
      <c r="F22" s="27">
        <f t="shared" si="1"/>
        <v>238</v>
      </c>
      <c r="G22" s="27">
        <f t="shared" si="1"/>
        <v>126</v>
      </c>
      <c r="H22" s="27">
        <f t="shared" si="1"/>
        <v>233</v>
      </c>
      <c r="I22" s="27">
        <f t="shared" si="1"/>
        <v>234</v>
      </c>
      <c r="J22" s="27">
        <f t="shared" si="1"/>
        <v>357</v>
      </c>
    </row>
    <row r="23" spans="1:10" s="17" customFormat="1">
      <c r="B23" s="27"/>
      <c r="C23" s="27"/>
      <c r="D23" s="27"/>
      <c r="E23" s="27"/>
      <c r="F23" s="27"/>
      <c r="G23" s="27"/>
      <c r="H23" s="27"/>
      <c r="I23" s="27"/>
      <c r="J23" s="27"/>
    </row>
    <row r="24" spans="1:10" s="17" customFormat="1">
      <c r="A24" s="17" t="s">
        <v>59</v>
      </c>
      <c r="B24" s="27">
        <f t="shared" ref="B24:G24" si="2">SUM(B22:E22)</f>
        <v>609</v>
      </c>
      <c r="C24" s="27">
        <f t="shared" si="2"/>
        <v>610</v>
      </c>
      <c r="D24" s="27">
        <f t="shared" si="2"/>
        <v>596</v>
      </c>
      <c r="E24" s="27">
        <f t="shared" si="2"/>
        <v>750</v>
      </c>
      <c r="F24" s="27">
        <f t="shared" si="2"/>
        <v>831</v>
      </c>
      <c r="G24" s="27">
        <f t="shared" si="2"/>
        <v>950</v>
      </c>
      <c r="H24" s="27"/>
      <c r="I24" s="27"/>
      <c r="J24" s="27"/>
    </row>
    <row r="25" spans="1:10" s="24" customFormat="1">
      <c r="A25" s="19" t="s">
        <v>60</v>
      </c>
      <c r="B25" s="28">
        <v>0</v>
      </c>
      <c r="C25" s="28">
        <v>0</v>
      </c>
      <c r="D25" s="28">
        <v>0</v>
      </c>
      <c r="E25" s="28">
        <v>0</v>
      </c>
      <c r="F25" s="28">
        <v>0</v>
      </c>
      <c r="G25" s="28">
        <v>0</v>
      </c>
      <c r="H25" s="28"/>
      <c r="I25" s="28"/>
      <c r="J25" s="28"/>
    </row>
    <row r="26" spans="1:10" s="24" customFormat="1">
      <c r="A26" s="19" t="s">
        <v>61</v>
      </c>
      <c r="B26" s="29">
        <v>0</v>
      </c>
      <c r="C26" s="29">
        <v>0</v>
      </c>
      <c r="D26" s="29">
        <v>0</v>
      </c>
      <c r="E26" s="29">
        <v>0</v>
      </c>
      <c r="F26" s="29">
        <v>0</v>
      </c>
      <c r="G26" s="29">
        <v>0</v>
      </c>
      <c r="H26" s="30"/>
      <c r="I26" s="30"/>
      <c r="J26" s="30"/>
    </row>
    <row r="27" spans="1:10" s="32" customFormat="1">
      <c r="A27" s="17" t="s">
        <v>62</v>
      </c>
      <c r="B27" s="27">
        <f t="shared" ref="B27:G27" si="3">SUM(B24:B26)</f>
        <v>609</v>
      </c>
      <c r="C27" s="27">
        <f t="shared" si="3"/>
        <v>610</v>
      </c>
      <c r="D27" s="27">
        <f t="shared" si="3"/>
        <v>596</v>
      </c>
      <c r="E27" s="27">
        <f t="shared" si="3"/>
        <v>750</v>
      </c>
      <c r="F27" s="27">
        <f t="shared" si="3"/>
        <v>831</v>
      </c>
      <c r="G27" s="27">
        <f t="shared" si="3"/>
        <v>950</v>
      </c>
      <c r="H27" s="31"/>
      <c r="I27" s="31"/>
      <c r="J27" s="31"/>
    </row>
    <row r="28" spans="1:10" s="24" customFormat="1"/>
    <row r="29" spans="1:10" s="17" customFormat="1">
      <c r="A29" s="17" t="s">
        <v>58</v>
      </c>
      <c r="B29" s="27">
        <f t="shared" ref="B29:J29" si="4">B22</f>
        <v>237</v>
      </c>
      <c r="C29" s="27">
        <f t="shared" si="4"/>
        <v>140</v>
      </c>
      <c r="D29" s="27">
        <f t="shared" si="4"/>
        <v>79</v>
      </c>
      <c r="E29" s="27">
        <f t="shared" si="4"/>
        <v>153</v>
      </c>
      <c r="F29" s="27">
        <f t="shared" si="4"/>
        <v>238</v>
      </c>
      <c r="G29" s="27">
        <f t="shared" si="4"/>
        <v>126</v>
      </c>
      <c r="H29" s="27">
        <f t="shared" si="4"/>
        <v>233</v>
      </c>
      <c r="I29" s="27">
        <f t="shared" si="4"/>
        <v>234</v>
      </c>
      <c r="J29" s="27">
        <f t="shared" si="4"/>
        <v>357</v>
      </c>
    </row>
    <row r="30" spans="1:10" s="33" customFormat="1">
      <c r="A30" s="20" t="s">
        <v>63</v>
      </c>
      <c r="B30" s="20">
        <f>-187-D30-C30</f>
        <v>-39</v>
      </c>
      <c r="C30" s="20">
        <v>-97</v>
      </c>
      <c r="D30" s="20">
        <v>-51</v>
      </c>
      <c r="E30" s="20">
        <f>-219-H30-G30-F30</f>
        <v>-42</v>
      </c>
      <c r="F30" s="20">
        <v>-60</v>
      </c>
      <c r="G30" s="26">
        <v>-75</v>
      </c>
      <c r="H30" s="26">
        <v>-42</v>
      </c>
      <c r="I30" s="20">
        <f>-169-146</f>
        <v>-315</v>
      </c>
      <c r="J30" s="20">
        <v>-55</v>
      </c>
    </row>
    <row r="31" spans="1:10" s="33" customFormat="1">
      <c r="A31" s="20" t="s">
        <v>64</v>
      </c>
      <c r="B31" s="20">
        <f>84-D31-C31</f>
        <v>0</v>
      </c>
      <c r="C31" s="20">
        <v>85</v>
      </c>
      <c r="D31" s="20">
        <v>-1</v>
      </c>
      <c r="E31" s="20">
        <f>-63-H31-G31-F31</f>
        <v>-5</v>
      </c>
      <c r="F31" s="20">
        <v>-54</v>
      </c>
      <c r="G31" s="20">
        <v>-3</v>
      </c>
      <c r="H31" s="20">
        <v>-1</v>
      </c>
      <c r="I31" s="20">
        <f>-5+11</f>
        <v>6</v>
      </c>
      <c r="J31" s="20">
        <v>-1</v>
      </c>
    </row>
    <row r="32" spans="1:10" s="33" customFormat="1">
      <c r="A32" s="20" t="s">
        <v>65</v>
      </c>
      <c r="B32" s="20">
        <f>21+67+53-89+38-D32-C32</f>
        <v>116</v>
      </c>
      <c r="C32" s="20">
        <v>28</v>
      </c>
      <c r="D32" s="20">
        <v>-54</v>
      </c>
      <c r="E32" s="20">
        <f>34+79-62+22-46-H32-G32-F32</f>
        <v>-156</v>
      </c>
      <c r="F32" s="20">
        <f>17-30+35+94-27+88+6-H32-G32</f>
        <v>10</v>
      </c>
      <c r="G32" s="20">
        <v>68</v>
      </c>
      <c r="H32" s="20">
        <v>105</v>
      </c>
      <c r="I32" s="20">
        <f>173+12+21-192+1-(64-148+93+58+76-23-18)</f>
        <v>-87</v>
      </c>
      <c r="J32" s="20">
        <f>64-148+93+58+76-23-18-(50-135+80+33+37+36-2-33)</f>
        <v>36</v>
      </c>
    </row>
    <row r="33" spans="1:10" s="33" customFormat="1">
      <c r="A33" s="20" t="s">
        <v>66</v>
      </c>
      <c r="B33" s="20">
        <v>0</v>
      </c>
      <c r="C33" s="20">
        <v>0</v>
      </c>
      <c r="D33" s="20">
        <v>0</v>
      </c>
      <c r="E33" s="20">
        <v>0</v>
      </c>
      <c r="F33" s="20">
        <v>0</v>
      </c>
      <c r="G33" s="20">
        <v>0</v>
      </c>
      <c r="H33" s="20">
        <v>0</v>
      </c>
      <c r="I33" s="20">
        <v>0</v>
      </c>
      <c r="J33" s="20">
        <v>0</v>
      </c>
    </row>
    <row r="34" spans="1:10" s="33" customFormat="1">
      <c r="A34" s="20" t="s">
        <v>57</v>
      </c>
      <c r="B34" s="29">
        <v>0</v>
      </c>
      <c r="C34" s="29">
        <v>0</v>
      </c>
      <c r="D34" s="29">
        <v>0</v>
      </c>
      <c r="E34" s="29">
        <v>0</v>
      </c>
      <c r="F34" s="29">
        <v>0</v>
      </c>
      <c r="G34" s="29">
        <v>0</v>
      </c>
      <c r="H34" s="29">
        <v>0</v>
      </c>
      <c r="I34" s="29">
        <v>0</v>
      </c>
      <c r="J34" s="29">
        <v>0</v>
      </c>
    </row>
    <row r="35" spans="1:10" s="27" customFormat="1">
      <c r="A35" s="27" t="s">
        <v>67</v>
      </c>
      <c r="B35" s="27">
        <f>475-D35-C35</f>
        <v>343</v>
      </c>
      <c r="C35" s="27">
        <v>150</v>
      </c>
      <c r="D35" s="27">
        <v>-18</v>
      </c>
      <c r="E35" s="27">
        <f>577-H35-G35-F35</f>
        <v>44</v>
      </c>
      <c r="F35" s="27">
        <f>533-H35-G35</f>
        <v>326</v>
      </c>
      <c r="G35" s="27">
        <v>5</v>
      </c>
      <c r="H35" s="27">
        <v>202</v>
      </c>
      <c r="I35" s="27">
        <f>768-731</f>
        <v>37</v>
      </c>
      <c r="J35" s="27">
        <f>731-355</f>
        <v>376</v>
      </c>
    </row>
    <row r="36" spans="1:10" s="33" customFormat="1">
      <c r="A36" s="20" t="s">
        <v>68</v>
      </c>
      <c r="B36" s="29">
        <f>-144-33-D36-C36</f>
        <v>-39</v>
      </c>
      <c r="C36" s="29">
        <v>-72</v>
      </c>
      <c r="D36" s="29">
        <v>-66</v>
      </c>
      <c r="E36" s="29">
        <f>-410-H36-G36-F36</f>
        <v>-129</v>
      </c>
      <c r="F36" s="29">
        <f>-265-16-H36-G36</f>
        <v>-54</v>
      </c>
      <c r="G36" s="29">
        <v>-128</v>
      </c>
      <c r="H36" s="29">
        <v>-99</v>
      </c>
      <c r="I36" s="29">
        <f>-417+252</f>
        <v>-165</v>
      </c>
      <c r="J36" s="29">
        <f>-252+179</f>
        <v>-73</v>
      </c>
    </row>
    <row r="37" spans="1:10" s="27" customFormat="1">
      <c r="A37" s="27" t="s">
        <v>69</v>
      </c>
      <c r="B37" s="27">
        <f>+B35+B36</f>
        <v>304</v>
      </c>
      <c r="C37" s="27">
        <f>+C35+C36</f>
        <v>78</v>
      </c>
      <c r="D37" s="27">
        <f t="shared" ref="D37:J37" si="5">+D35+D36</f>
        <v>-84</v>
      </c>
      <c r="E37" s="27">
        <f t="shared" si="5"/>
        <v>-85</v>
      </c>
      <c r="F37" s="27">
        <f t="shared" si="5"/>
        <v>272</v>
      </c>
      <c r="G37" s="27">
        <f t="shared" si="5"/>
        <v>-123</v>
      </c>
      <c r="H37" s="27">
        <f t="shared" si="5"/>
        <v>103</v>
      </c>
      <c r="I37" s="27">
        <f t="shared" si="5"/>
        <v>-128</v>
      </c>
      <c r="J37" s="27">
        <f t="shared" si="5"/>
        <v>303</v>
      </c>
    </row>
    <row r="39" spans="1:10" s="35" customFormat="1">
      <c r="A39" s="34" t="s">
        <v>70</v>
      </c>
      <c r="B39" s="20">
        <v>45</v>
      </c>
      <c r="C39" s="20">
        <v>45</v>
      </c>
      <c r="D39" s="20">
        <v>55</v>
      </c>
      <c r="E39" s="20">
        <v>55</v>
      </c>
      <c r="F39" s="20"/>
      <c r="G39" s="20"/>
      <c r="H39" s="20"/>
      <c r="I39" s="20"/>
      <c r="J39" s="20"/>
    </row>
    <row r="40" spans="1:10" s="35" customFormat="1">
      <c r="A40" s="34" t="s">
        <v>71</v>
      </c>
      <c r="B40" s="20">
        <v>1141</v>
      </c>
      <c r="C40" s="20">
        <v>1141</v>
      </c>
      <c r="D40" s="20">
        <v>1154</v>
      </c>
      <c r="E40" s="20">
        <v>1155</v>
      </c>
      <c r="F40" s="20"/>
      <c r="G40" s="20"/>
      <c r="H40" s="20"/>
      <c r="I40" s="20"/>
      <c r="J40" s="20"/>
    </row>
    <row r="41" spans="1:10" s="35" customFormat="1">
      <c r="A41" s="34" t="s">
        <v>72</v>
      </c>
      <c r="B41" s="20">
        <v>4149.5</v>
      </c>
      <c r="C41" s="20">
        <v>4474.5</v>
      </c>
      <c r="D41" s="20">
        <v>4476.5</v>
      </c>
      <c r="E41" s="20">
        <v>4466</v>
      </c>
      <c r="F41" s="20"/>
      <c r="G41" s="20"/>
      <c r="H41" s="20"/>
      <c r="I41" s="20"/>
      <c r="J41" s="20"/>
    </row>
    <row r="42" spans="1:10" s="35" customFormat="1">
      <c r="A42" s="34" t="s">
        <v>73</v>
      </c>
      <c r="B42" s="36">
        <v>0</v>
      </c>
      <c r="C42" s="36">
        <v>0</v>
      </c>
      <c r="D42" s="36">
        <v>0</v>
      </c>
      <c r="E42" s="36">
        <v>0</v>
      </c>
      <c r="F42" s="36"/>
      <c r="G42" s="36"/>
      <c r="H42" s="36"/>
      <c r="I42" s="36"/>
      <c r="J42" s="36"/>
    </row>
    <row r="43" spans="1:10">
      <c r="B43" s="35"/>
      <c r="C43" s="35"/>
      <c r="D43" s="35"/>
      <c r="E43" s="35"/>
    </row>
    <row r="44" spans="1:10">
      <c r="A44" s="19" t="s">
        <v>74</v>
      </c>
      <c r="B44" s="28">
        <v>356</v>
      </c>
      <c r="C44" s="28">
        <v>60</v>
      </c>
      <c r="D44" s="28">
        <v>35</v>
      </c>
      <c r="E44" s="28">
        <v>135</v>
      </c>
      <c r="F44" s="28"/>
      <c r="G44" s="28"/>
      <c r="H44" s="28"/>
      <c r="I44" s="28"/>
      <c r="J44" s="28"/>
    </row>
    <row r="46" spans="1:10">
      <c r="A46" s="14" t="s">
        <v>75</v>
      </c>
      <c r="B46" s="33">
        <f t="shared" ref="B46:G46" si="6">SUM(B12:E12)</f>
        <v>3517</v>
      </c>
      <c r="C46" s="33">
        <f t="shared" si="6"/>
        <v>3730</v>
      </c>
      <c r="D46" s="33">
        <f t="shared" si="6"/>
        <v>3549</v>
      </c>
      <c r="E46" s="33">
        <f t="shared" si="6"/>
        <v>3913</v>
      </c>
      <c r="F46" s="33">
        <f t="shared" si="6"/>
        <v>3968</v>
      </c>
      <c r="G46" s="33">
        <f t="shared" si="6"/>
        <v>4193</v>
      </c>
    </row>
    <row r="47" spans="1:10">
      <c r="A47" s="14" t="s">
        <v>76</v>
      </c>
      <c r="B47" s="33">
        <f t="shared" ref="B47:G47" si="7">+B27</f>
        <v>609</v>
      </c>
      <c r="C47" s="33">
        <f t="shared" si="7"/>
        <v>610</v>
      </c>
      <c r="D47" s="33">
        <f t="shared" si="7"/>
        <v>596</v>
      </c>
      <c r="E47" s="33">
        <f t="shared" si="7"/>
        <v>750</v>
      </c>
      <c r="F47" s="33">
        <f t="shared" si="7"/>
        <v>831</v>
      </c>
      <c r="G47" s="33">
        <f t="shared" si="7"/>
        <v>950</v>
      </c>
    </row>
    <row r="48" spans="1:10">
      <c r="A48" s="14" t="s">
        <v>77</v>
      </c>
      <c r="B48" s="33">
        <f>C48+B37-F37</f>
        <v>153</v>
      </c>
      <c r="C48" s="33">
        <f>D48+C37-G37</f>
        <v>121</v>
      </c>
      <c r="D48" s="33">
        <f>E48+D37-H37</f>
        <v>-80</v>
      </c>
      <c r="E48" s="33">
        <v>107</v>
      </c>
      <c r="F48" s="33">
        <v>108</v>
      </c>
      <c r="G48" s="33">
        <v>109</v>
      </c>
    </row>
    <row r="50" spans="1:10" s="37" customFormat="1">
      <c r="A50" s="37" t="s">
        <v>78</v>
      </c>
      <c r="B50" s="37">
        <f>+SUM(B39:B40)/B47</f>
        <v>1.9474548440065682</v>
      </c>
      <c r="C50" s="37">
        <f>+SUM(C39:C40)/C47</f>
        <v>1.9442622950819672</v>
      </c>
      <c r="D50" s="37">
        <f>+SUM(D39:D40)/D47</f>
        <v>2.0285234899328861</v>
      </c>
      <c r="E50" s="37">
        <f>+SUM(E39:E40)/E47</f>
        <v>1.6133333333333333</v>
      </c>
    </row>
    <row r="51" spans="1:10" s="37" customFormat="1">
      <c r="A51" s="37" t="s">
        <v>79</v>
      </c>
      <c r="B51" s="37">
        <f>+B41/B47</f>
        <v>6.8136288998357966</v>
      </c>
      <c r="C51" s="37">
        <f>+C41/C47</f>
        <v>7.3352459016393441</v>
      </c>
      <c r="D51" s="37">
        <f>+D41/D47</f>
        <v>7.5109060402684564</v>
      </c>
      <c r="E51" s="37">
        <f>+E41/E47</f>
        <v>5.9546666666666663</v>
      </c>
    </row>
    <row r="52" spans="1:10" s="37" customFormat="1">
      <c r="A52" s="37" t="s">
        <v>80</v>
      </c>
      <c r="B52" s="37">
        <f>+(B41-B44)/B47</f>
        <v>6.2290640394088674</v>
      </c>
      <c r="C52" s="37">
        <f>+(C41-C44)/C47</f>
        <v>7.2368852459016395</v>
      </c>
      <c r="D52" s="37">
        <f>+(D41-D44)/D47</f>
        <v>7.4521812080536911</v>
      </c>
      <c r="E52" s="37">
        <f>+(E41-E44)/E47</f>
        <v>5.7746666666666666</v>
      </c>
    </row>
    <row r="53" spans="1:10" s="38" customFormat="1">
      <c r="A53" s="38" t="s">
        <v>81</v>
      </c>
      <c r="B53" s="38">
        <f>+B48/B41</f>
        <v>3.6871912278587785E-2</v>
      </c>
      <c r="C53" s="38">
        <f>+C48/C41</f>
        <v>2.7042127612023691E-2</v>
      </c>
      <c r="D53" s="38">
        <f>+D48/D41</f>
        <v>-1.787110465765665E-2</v>
      </c>
      <c r="E53" s="38">
        <f>+E48/E41</f>
        <v>2.3958799820868786E-2</v>
      </c>
    </row>
    <row r="54" spans="1:10" s="38" customFormat="1">
      <c r="A54" s="39" t="s">
        <v>82</v>
      </c>
      <c r="B54" s="40">
        <v>6.5</v>
      </c>
      <c r="C54" s="40">
        <v>6.5</v>
      </c>
      <c r="D54" s="40">
        <v>6.5</v>
      </c>
      <c r="E54" s="40">
        <v>6.5</v>
      </c>
      <c r="F54" s="40"/>
      <c r="G54" s="40"/>
      <c r="H54" s="39"/>
      <c r="I54" s="39"/>
      <c r="J54" s="39"/>
    </row>
    <row r="55" spans="1:10" s="38" customFormat="1">
      <c r="A55" s="38" t="s">
        <v>83</v>
      </c>
      <c r="B55" s="41" t="str">
        <f t="shared" ref="B55:G55" si="8">IF(B42=0,IF(B54="","","*"&amp;TEXT(B54,"0.0x")),(B41+B42-B44)/B47)</f>
        <v>*6.5x</v>
      </c>
      <c r="C55" s="41" t="str">
        <f t="shared" si="8"/>
        <v>*6.5x</v>
      </c>
      <c r="D55" s="41" t="str">
        <f t="shared" si="8"/>
        <v>*6.5x</v>
      </c>
      <c r="E55" s="41" t="str">
        <f t="shared" si="8"/>
        <v>*6.5x</v>
      </c>
      <c r="F55" s="41" t="str">
        <f t="shared" si="8"/>
        <v/>
      </c>
      <c r="G55" s="41" t="str">
        <f t="shared" si="8"/>
        <v/>
      </c>
      <c r="H55" s="41" t="str">
        <f>IF(H42=0,IF(H54="","",CONCATENATE("* ",H54,"x")),(H41+H42-H44)/H47)</f>
        <v/>
      </c>
      <c r="I55" s="41" t="str">
        <f>IF(I42=0,IF(I54="","",CONCATENATE("* ",I54,"x")),(I41+I42-I44)/I47)</f>
        <v/>
      </c>
      <c r="J55" s="41" t="str">
        <f>IF(J42=0,IF(J54="","",CONCATENATE("* ",J54,"x")),(J41+J42-J44)/J47)</f>
        <v/>
      </c>
    </row>
    <row r="56" spans="1:10">
      <c r="G56" s="42"/>
    </row>
    <row r="57" spans="1:10" ht="80.25" customHeight="1">
      <c r="A57" s="43" t="s">
        <v>84</v>
      </c>
      <c r="B57" s="44" t="s">
        <v>90</v>
      </c>
      <c r="C57" s="44" t="s">
        <v>90</v>
      </c>
      <c r="D57" s="44"/>
      <c r="E57" s="44"/>
      <c r="F57" s="44"/>
      <c r="G57" s="44"/>
      <c r="H57" s="44"/>
      <c r="I57" s="44"/>
      <c r="J57" s="44"/>
    </row>
    <row r="58" spans="1:10">
      <c r="A58" s="45"/>
      <c r="B58" s="42"/>
      <c r="C58" s="42"/>
    </row>
    <row r="59" spans="1:10">
      <c r="A59" s="45"/>
    </row>
  </sheetData>
  <pageMargins left="0.7" right="0.7" top="0.75" bottom="0.75" header="0.3" footer="0.3"/>
  <pageSetup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FF0000"/>
  </sheetPr>
  <dimension ref="A2:I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C4" sqref="C4"/>
    </sheetView>
  </sheetViews>
  <sheetFormatPr defaultColWidth="9.109375" defaultRowHeight="13.8"/>
  <cols>
    <col min="1" max="1" width="22.6640625" style="14" customWidth="1"/>
    <col min="2" max="9" width="10.6640625" style="14" customWidth="1"/>
    <col min="10" max="16384" width="9.109375" style="14"/>
  </cols>
  <sheetData>
    <row r="2" spans="1:9">
      <c r="A2" s="13" t="s">
        <v>44</v>
      </c>
      <c r="B2" s="14" t="s">
        <v>37</v>
      </c>
    </row>
    <row r="3" spans="1:9" s="16" customFormat="1">
      <c r="A3" s="15" t="s">
        <v>45</v>
      </c>
      <c r="B3" s="16" t="s">
        <v>136</v>
      </c>
    </row>
    <row r="4" spans="1:9">
      <c r="A4" s="13" t="s">
        <v>2</v>
      </c>
      <c r="B4" s="14" t="s">
        <v>493</v>
      </c>
    </row>
    <row r="5" spans="1:9">
      <c r="A5" s="13" t="s">
        <v>46</v>
      </c>
    </row>
    <row r="6" spans="1:9">
      <c r="A6" s="13" t="s">
        <v>47</v>
      </c>
    </row>
    <row r="7" spans="1:9">
      <c r="A7" s="13" t="s">
        <v>48</v>
      </c>
      <c r="B7" s="14" t="e">
        <v>#N/A</v>
      </c>
    </row>
    <row r="8" spans="1:9">
      <c r="A8" s="13" t="s">
        <v>347</v>
      </c>
      <c r="B8" s="14" t="e">
        <v>#N/A</v>
      </c>
    </row>
    <row r="9" spans="1:9">
      <c r="A9" s="17"/>
    </row>
    <row r="10" spans="1:9">
      <c r="A10" s="17" t="s">
        <v>49</v>
      </c>
      <c r="B10" s="18">
        <v>42916</v>
      </c>
      <c r="C10" s="18">
        <v>42825</v>
      </c>
      <c r="D10" s="18">
        <v>42735</v>
      </c>
      <c r="E10" s="18">
        <v>42643</v>
      </c>
      <c r="F10" s="18">
        <v>42551</v>
      </c>
      <c r="G10" s="18">
        <v>42460</v>
      </c>
      <c r="H10" s="18">
        <v>42369</v>
      </c>
      <c r="I10" s="18">
        <v>42277</v>
      </c>
    </row>
    <row r="12" spans="1:9">
      <c r="A12" s="19" t="s">
        <v>50</v>
      </c>
      <c r="B12" s="20">
        <v>180.40600000000001</v>
      </c>
      <c r="C12" s="20">
        <v>177.833</v>
      </c>
      <c r="D12" s="20">
        <v>167.494</v>
      </c>
      <c r="E12" s="20">
        <v>167.54399999999998</v>
      </c>
      <c r="F12" s="20">
        <v>177.80000000000004</v>
      </c>
      <c r="G12" s="20">
        <v>170.029</v>
      </c>
      <c r="H12" s="20">
        <v>163.38499999999999</v>
      </c>
      <c r="I12" s="20">
        <v>161.58300000000003</v>
      </c>
    </row>
    <row r="13" spans="1:9" s="21" customFormat="1">
      <c r="A13" s="21" t="s">
        <v>51</v>
      </c>
      <c r="B13" s="21">
        <f>+B12/F12-1</f>
        <v>1.4656917885264242E-2</v>
      </c>
      <c r="C13" s="21">
        <f>+C12/G12-1</f>
        <v>4.5898052685130253E-2</v>
      </c>
      <c r="D13" s="21">
        <f>+D12/H12-1</f>
        <v>2.5149187501912751E-2</v>
      </c>
      <c r="E13" s="21">
        <f>+E12/I12-1</f>
        <v>3.6891257124820998E-2</v>
      </c>
    </row>
    <row r="14" spans="1:9" s="24" customFormat="1">
      <c r="A14" s="22" t="s">
        <v>52</v>
      </c>
      <c r="B14" s="23" t="s">
        <v>3</v>
      </c>
      <c r="C14" s="23" t="s">
        <v>3</v>
      </c>
      <c r="D14" s="23" t="s">
        <v>3</v>
      </c>
      <c r="E14" s="23" t="s">
        <v>3</v>
      </c>
      <c r="F14" s="22"/>
      <c r="G14" s="22"/>
      <c r="H14" s="22"/>
      <c r="I14" s="22"/>
    </row>
    <row r="16" spans="1:9" s="17" customFormat="1">
      <c r="A16" s="25" t="s">
        <v>53</v>
      </c>
      <c r="B16" s="26">
        <v>21.396000000000043</v>
      </c>
      <c r="C16" s="26">
        <v>28.974999999999998</v>
      </c>
      <c r="D16" s="26">
        <v>34.986999999999995</v>
      </c>
      <c r="E16" s="26">
        <v>25.344999999999981</v>
      </c>
      <c r="F16" s="26">
        <v>35.43400000000004</v>
      </c>
      <c r="G16" s="26">
        <v>22.988999999999987</v>
      </c>
      <c r="H16" s="26">
        <v>30.424999999999986</v>
      </c>
      <c r="I16" s="26">
        <v>23.474000000000025</v>
      </c>
    </row>
    <row r="17" spans="1:9" s="21" customFormat="1">
      <c r="A17" s="21" t="s">
        <v>54</v>
      </c>
      <c r="B17" s="21">
        <f>+B16/B12</f>
        <v>0.11859915967318184</v>
      </c>
      <c r="C17" s="21">
        <f t="shared" ref="C17:I17" si="0">+C16/C12</f>
        <v>0.16293376369965079</v>
      </c>
      <c r="D17" s="21">
        <f t="shared" si="0"/>
        <v>0.20888509439144085</v>
      </c>
      <c r="E17" s="21">
        <f t="shared" si="0"/>
        <v>0.15127369526810858</v>
      </c>
      <c r="F17" s="21">
        <f t="shared" si="0"/>
        <v>0.19929133858267734</v>
      </c>
      <c r="G17" s="21">
        <f t="shared" si="0"/>
        <v>0.13520634715254448</v>
      </c>
      <c r="H17" s="21">
        <f t="shared" si="0"/>
        <v>0.18621660495149486</v>
      </c>
      <c r="I17" s="21">
        <f t="shared" si="0"/>
        <v>0.14527518365174569</v>
      </c>
    </row>
    <row r="18" spans="1:9" s="24" customFormat="1"/>
    <row r="19" spans="1:9" s="24" customFormat="1">
      <c r="A19" s="19" t="s">
        <v>55</v>
      </c>
      <c r="B19" s="20">
        <v>0</v>
      </c>
      <c r="C19" s="20">
        <v>0</v>
      </c>
      <c r="D19" s="20">
        <v>0</v>
      </c>
      <c r="E19" s="20">
        <v>0</v>
      </c>
      <c r="F19" s="20">
        <v>0</v>
      </c>
      <c r="G19" s="20">
        <v>0</v>
      </c>
      <c r="H19" s="20">
        <v>0</v>
      </c>
      <c r="I19" s="20">
        <v>0</v>
      </c>
    </row>
    <row r="20" spans="1:9" s="24" customFormat="1">
      <c r="A20" s="19" t="s">
        <v>56</v>
      </c>
      <c r="B20" s="20">
        <f>3.431+4.189</f>
        <v>7.62</v>
      </c>
      <c r="C20" s="20">
        <f>0.0279999999999999+1.044</f>
        <v>1.0719999999999998</v>
      </c>
      <c r="D20" s="20">
        <f>-0.265+0.441</f>
        <v>0.17599999999999999</v>
      </c>
      <c r="E20" s="20">
        <f>0.806+0.326</f>
        <v>1.1320000000000001</v>
      </c>
      <c r="F20" s="20">
        <f>-0.179+1.45</f>
        <v>1.2709999999999999</v>
      </c>
      <c r="G20" s="20">
        <f>-0.674+0.425</f>
        <v>-0.24900000000000005</v>
      </c>
      <c r="H20" s="20">
        <f>-0.38+0.924</f>
        <v>0.54400000000000004</v>
      </c>
      <c r="I20" s="20">
        <f>0.736+0.291</f>
        <v>1.0269999999999999</v>
      </c>
    </row>
    <row r="21" spans="1:9" s="24" customFormat="1">
      <c r="A21" s="19" t="s">
        <v>57</v>
      </c>
      <c r="B21" s="20">
        <f>B22-B16-B19-B20</f>
        <v>9.3010000000000055</v>
      </c>
      <c r="C21" s="20">
        <f t="shared" ref="C21:I21" si="1">C22-C16-C19-C20</f>
        <v>4.7929999999999984</v>
      </c>
      <c r="D21" s="20">
        <f t="shared" si="1"/>
        <v>-6.6219999999999981</v>
      </c>
      <c r="E21" s="20">
        <f t="shared" si="1"/>
        <v>3.528</v>
      </c>
      <c r="F21" s="20">
        <f t="shared" si="1"/>
        <v>-1.0100000000000042</v>
      </c>
      <c r="G21" s="20">
        <f t="shared" si="1"/>
        <v>9.3669999999999991</v>
      </c>
      <c r="H21" s="20">
        <f t="shared" si="1"/>
        <v>-1.178999999999998</v>
      </c>
      <c r="I21" s="20">
        <f t="shared" si="1"/>
        <v>3.1770000000000005</v>
      </c>
    </row>
    <row r="22" spans="1:9" s="17" customFormat="1">
      <c r="A22" s="17" t="s">
        <v>58</v>
      </c>
      <c r="B22" s="27">
        <v>38.31700000000005</v>
      </c>
      <c r="C22" s="27">
        <v>34.839999999999996</v>
      </c>
      <c r="D22" s="27">
        <v>28.540999999999997</v>
      </c>
      <c r="E22" s="27">
        <v>30.004999999999981</v>
      </c>
      <c r="F22" s="27">
        <v>35.695000000000036</v>
      </c>
      <c r="G22" s="27">
        <v>32.106999999999985</v>
      </c>
      <c r="H22" s="27">
        <v>29.789999999999988</v>
      </c>
      <c r="I22" s="27">
        <v>27.678000000000026</v>
      </c>
    </row>
    <row r="23" spans="1:9" s="17" customFormat="1">
      <c r="B23" s="27"/>
      <c r="C23" s="27"/>
      <c r="D23" s="27"/>
      <c r="E23" s="27"/>
      <c r="F23" s="27"/>
      <c r="G23" s="27"/>
      <c r="H23" s="27"/>
      <c r="I23" s="27"/>
    </row>
    <row r="24" spans="1:9" s="17" customFormat="1">
      <c r="A24" s="17" t="s">
        <v>59</v>
      </c>
      <c r="B24" s="27">
        <f>SUM(B22:E22)</f>
        <v>131.70300000000003</v>
      </c>
      <c r="C24" s="27">
        <f>SUM(C22:F22)</f>
        <v>129.08100000000002</v>
      </c>
      <c r="D24" s="27">
        <f>SUM(D22:G22)</f>
        <v>126.348</v>
      </c>
      <c r="E24" s="27">
        <f>SUM(E22:H22)</f>
        <v>127.59699999999999</v>
      </c>
      <c r="F24" s="27">
        <f>SUM(F22:I22)</f>
        <v>125.27000000000004</v>
      </c>
      <c r="G24" s="27"/>
      <c r="H24" s="27"/>
      <c r="I24" s="27"/>
    </row>
    <row r="25" spans="1:9" s="24" customFormat="1">
      <c r="A25" s="19" t="s">
        <v>60</v>
      </c>
      <c r="B25" s="28">
        <v>0</v>
      </c>
      <c r="C25" s="28">
        <v>0</v>
      </c>
      <c r="D25" s="28">
        <v>0</v>
      </c>
      <c r="E25" s="28">
        <v>0</v>
      </c>
      <c r="F25" s="28">
        <v>0</v>
      </c>
      <c r="G25" s="28"/>
      <c r="H25" s="28"/>
      <c r="I25" s="28"/>
    </row>
    <row r="26" spans="1:9" s="24" customFormat="1">
      <c r="A26" s="19" t="s">
        <v>61</v>
      </c>
      <c r="B26" s="29">
        <v>0</v>
      </c>
      <c r="C26" s="29">
        <v>0</v>
      </c>
      <c r="D26" s="29">
        <v>0</v>
      </c>
      <c r="E26" s="29">
        <v>0</v>
      </c>
      <c r="F26" s="29">
        <v>0</v>
      </c>
      <c r="G26" s="30"/>
      <c r="H26" s="30"/>
      <c r="I26" s="30"/>
    </row>
    <row r="27" spans="1:9" s="32" customFormat="1">
      <c r="A27" s="17" t="s">
        <v>62</v>
      </c>
      <c r="B27" s="27">
        <f>SUM(B24:B26)</f>
        <v>131.70300000000003</v>
      </c>
      <c r="C27" s="27">
        <f>SUM(C24:C26)</f>
        <v>129.08100000000002</v>
      </c>
      <c r="D27" s="27">
        <f>SUM(D24:D26)</f>
        <v>126.348</v>
      </c>
      <c r="E27" s="27">
        <f>SUM(E24:E26)</f>
        <v>127.59699999999999</v>
      </c>
      <c r="F27" s="27">
        <f>SUM(F24:F26)</f>
        <v>125.27000000000004</v>
      </c>
      <c r="G27" s="31"/>
      <c r="H27" s="31"/>
      <c r="I27" s="31"/>
    </row>
    <row r="28" spans="1:9" s="24" customFormat="1"/>
    <row r="29" spans="1:9" s="17" customFormat="1">
      <c r="A29" s="17" t="s">
        <v>58</v>
      </c>
      <c r="B29" s="27">
        <f t="shared" ref="B29:I29" si="2">B22</f>
        <v>38.31700000000005</v>
      </c>
      <c r="C29" s="27">
        <f t="shared" si="2"/>
        <v>34.839999999999996</v>
      </c>
      <c r="D29" s="27">
        <f t="shared" si="2"/>
        <v>28.540999999999997</v>
      </c>
      <c r="E29" s="27">
        <f t="shared" si="2"/>
        <v>30.004999999999981</v>
      </c>
      <c r="F29" s="27">
        <f t="shared" si="2"/>
        <v>35.695000000000036</v>
      </c>
      <c r="G29" s="27">
        <f t="shared" si="2"/>
        <v>32.106999999999985</v>
      </c>
      <c r="H29" s="27">
        <f t="shared" si="2"/>
        <v>29.789999999999988</v>
      </c>
      <c r="I29" s="27">
        <f t="shared" si="2"/>
        <v>27.678000000000026</v>
      </c>
    </row>
    <row r="30" spans="1:9" s="33" customFormat="1">
      <c r="A30" s="20" t="s">
        <v>63</v>
      </c>
      <c r="B30" s="20">
        <v>-10.062000000000005</v>
      </c>
      <c r="C30" s="20">
        <v>-10.119999999999999</v>
      </c>
      <c r="D30" s="20">
        <v>-11.528</v>
      </c>
      <c r="E30" s="20">
        <v>-11.515000000000001</v>
      </c>
      <c r="F30" s="20">
        <v>-11.509999999999998</v>
      </c>
      <c r="G30" s="20">
        <v>-11.481999999999999</v>
      </c>
      <c r="H30" s="20">
        <v>-11.64</v>
      </c>
      <c r="I30" s="20">
        <v>-11.311</v>
      </c>
    </row>
    <row r="31" spans="1:9" s="33" customFormat="1">
      <c r="A31" s="20" t="s">
        <v>64</v>
      </c>
      <c r="B31" s="20">
        <f>-11.125+11.036</f>
        <v>-8.9000000000000412E-2</v>
      </c>
      <c r="C31" s="20">
        <f>-0.884+-2.259</f>
        <v>-3.1429999999999998</v>
      </c>
      <c r="D31" s="20">
        <f>-13.758+10.492</f>
        <v>-3.2659999999999982</v>
      </c>
      <c r="E31" s="20">
        <f>13.517+-15.532</f>
        <v>-2.0150000000000006</v>
      </c>
      <c r="F31" s="20">
        <f>-4.414+1.91</f>
        <v>-2.5039999999999996</v>
      </c>
      <c r="G31" s="20">
        <f>1.46+-4.513</f>
        <v>-3.0529999999999999</v>
      </c>
      <c r="H31" s="20">
        <f>-4.591+2.749</f>
        <v>-1.8420000000000001</v>
      </c>
      <c r="I31" s="20">
        <f>-0.463+-2.131</f>
        <v>-2.5939999999999999</v>
      </c>
    </row>
    <row r="32" spans="1:9" s="33" customFormat="1">
      <c r="A32" s="20" t="s">
        <v>65</v>
      </c>
      <c r="B32" s="20">
        <v>-3.0220000000000011</v>
      </c>
      <c r="C32" s="20">
        <v>-4.0299999999999994</v>
      </c>
      <c r="D32" s="20">
        <v>-3.24</v>
      </c>
      <c r="E32" s="20">
        <v>0.63800000000000079</v>
      </c>
      <c r="F32" s="20">
        <v>-2.5039999999999982</v>
      </c>
      <c r="G32" s="20">
        <v>5.8129999999999979</v>
      </c>
      <c r="H32" s="20">
        <v>-3.2479999999999989</v>
      </c>
      <c r="I32" s="20">
        <v>-5.532</v>
      </c>
    </row>
    <row r="33" spans="1:9" s="33" customFormat="1">
      <c r="A33" s="20" t="s">
        <v>66</v>
      </c>
      <c r="B33" s="20">
        <v>0</v>
      </c>
      <c r="C33" s="20">
        <v>0</v>
      </c>
      <c r="D33" s="20">
        <v>0</v>
      </c>
      <c r="E33" s="20">
        <v>0</v>
      </c>
      <c r="F33" s="20">
        <v>0</v>
      </c>
      <c r="G33" s="20">
        <v>0</v>
      </c>
      <c r="H33" s="20">
        <v>0</v>
      </c>
      <c r="I33" s="20">
        <v>0</v>
      </c>
    </row>
    <row r="34" spans="1:9" s="33" customFormat="1">
      <c r="A34" s="20" t="s">
        <v>57</v>
      </c>
      <c r="B34" s="29">
        <v>0</v>
      </c>
      <c r="C34" s="29">
        <v>0</v>
      </c>
      <c r="D34" s="29">
        <v>0</v>
      </c>
      <c r="E34" s="29">
        <v>0</v>
      </c>
      <c r="F34" s="29">
        <v>0</v>
      </c>
      <c r="G34" s="29">
        <v>0</v>
      </c>
      <c r="H34" s="29">
        <v>0</v>
      </c>
      <c r="I34" s="29">
        <v>0</v>
      </c>
    </row>
    <row r="35" spans="1:9" s="27" customFormat="1">
      <c r="A35" s="27" t="s">
        <v>67</v>
      </c>
      <c r="B35" s="27">
        <v>18.506</v>
      </c>
      <c r="C35" s="27">
        <v>14.995000000000001</v>
      </c>
      <c r="D35" s="27">
        <v>10.301</v>
      </c>
      <c r="E35" s="27">
        <v>15.045</v>
      </c>
      <c r="F35" s="27">
        <v>15.624000000000002</v>
      </c>
      <c r="G35" s="27">
        <v>21.062999999999999</v>
      </c>
      <c r="H35" s="27">
        <v>10.855999999999998</v>
      </c>
      <c r="I35" s="27">
        <v>7.2770000000000001</v>
      </c>
    </row>
    <row r="36" spans="1:9" s="33" customFormat="1">
      <c r="A36" s="20" t="s">
        <v>68</v>
      </c>
      <c r="B36" s="29">
        <v>-8.453000000000003</v>
      </c>
      <c r="C36" s="29">
        <v>-9.4469999999999992</v>
      </c>
      <c r="D36" s="29">
        <v>-11.916</v>
      </c>
      <c r="E36" s="29">
        <v>-4.5609999999999999</v>
      </c>
      <c r="F36" s="29">
        <v>-14.270000000000003</v>
      </c>
      <c r="G36" s="29">
        <v>-7.8769999999999989</v>
      </c>
      <c r="H36" s="29">
        <v>-6.2940000000000005</v>
      </c>
      <c r="I36" s="29">
        <v>-6.3659999999999997</v>
      </c>
    </row>
    <row r="37" spans="1:9" s="27" customFormat="1">
      <c r="A37" s="27" t="s">
        <v>69</v>
      </c>
      <c r="B37" s="27">
        <f>+B35+B36</f>
        <v>10.052999999999997</v>
      </c>
      <c r="C37" s="27">
        <f t="shared" ref="C37:I37" si="3">+C35+C36</f>
        <v>5.5480000000000018</v>
      </c>
      <c r="D37" s="27">
        <f t="shared" si="3"/>
        <v>-1.6150000000000002</v>
      </c>
      <c r="E37" s="27">
        <f t="shared" si="3"/>
        <v>10.484</v>
      </c>
      <c r="F37" s="27">
        <f t="shared" si="3"/>
        <v>1.3539999999999992</v>
      </c>
      <c r="G37" s="27">
        <f t="shared" si="3"/>
        <v>13.186</v>
      </c>
      <c r="H37" s="27">
        <f t="shared" si="3"/>
        <v>4.5619999999999976</v>
      </c>
      <c r="I37" s="27">
        <f t="shared" si="3"/>
        <v>0.91100000000000048</v>
      </c>
    </row>
    <row r="39" spans="1:9" s="35" customFormat="1">
      <c r="A39" s="34" t="s">
        <v>70</v>
      </c>
      <c r="B39" s="20">
        <f>0.005+2.056</f>
        <v>2.0609999999999999</v>
      </c>
      <c r="C39" s="20">
        <v>2.2229999999999999</v>
      </c>
      <c r="D39" s="20">
        <f>2.053+2.388</f>
        <v>4.4409999999999998</v>
      </c>
      <c r="E39" s="20">
        <v>2.552</v>
      </c>
      <c r="F39" s="20">
        <v>2.7149999999999999</v>
      </c>
      <c r="G39" s="20"/>
      <c r="H39" s="20"/>
      <c r="I39" s="20"/>
    </row>
    <row r="40" spans="1:9" s="35" customFormat="1">
      <c r="A40" s="34" t="s">
        <v>71</v>
      </c>
      <c r="B40" s="20">
        <f>639.279+11.882+3.375</f>
        <v>654.53599999999994</v>
      </c>
      <c r="C40" s="20">
        <f>628.17+11.204+3.587</f>
        <v>642.9609999999999</v>
      </c>
      <c r="D40" s="20">
        <f>627.69+8.787+0.506+3.68</f>
        <v>640.66300000000001</v>
      </c>
      <c r="E40" s="20">
        <f>559.208+0.251+0.513+3.901</f>
        <v>563.87299999999993</v>
      </c>
      <c r="F40" s="20">
        <f>561.013+0.277+1.792+4.004</f>
        <v>567.08600000000013</v>
      </c>
      <c r="G40" s="20"/>
      <c r="H40" s="20"/>
      <c r="I40" s="20"/>
    </row>
    <row r="41" spans="1:9" s="35" customFormat="1">
      <c r="A41" s="34" t="s">
        <v>72</v>
      </c>
      <c r="B41" s="20">
        <f>B39+B40+66</f>
        <v>722.59699999999998</v>
      </c>
      <c r="C41" s="20">
        <f>C39+C40+65.678</f>
        <v>710.86199999999985</v>
      </c>
      <c r="D41" s="20">
        <f>D39+D40+65.665</f>
        <v>710.76900000000001</v>
      </c>
      <c r="E41" s="20">
        <f>E39+E40+159.156</f>
        <v>725.5809999999999</v>
      </c>
      <c r="F41" s="20">
        <f>F39+F40+160</f>
        <v>729.80100000000016</v>
      </c>
      <c r="G41" s="20"/>
      <c r="H41" s="20"/>
      <c r="I41" s="20"/>
    </row>
    <row r="42" spans="1:9" s="35" customFormat="1">
      <c r="A42" s="34" t="s">
        <v>73</v>
      </c>
      <c r="B42" s="36">
        <v>0</v>
      </c>
      <c r="C42" s="36">
        <v>0</v>
      </c>
      <c r="D42" s="36">
        <v>0</v>
      </c>
      <c r="E42" s="36">
        <v>0</v>
      </c>
      <c r="F42" s="36">
        <v>0</v>
      </c>
      <c r="G42" s="36"/>
      <c r="H42" s="36"/>
      <c r="I42" s="36"/>
    </row>
    <row r="43" spans="1:9">
      <c r="B43" s="35"/>
      <c r="C43" s="35"/>
      <c r="D43" s="35"/>
    </row>
    <row r="44" spans="1:9">
      <c r="A44" s="19" t="s">
        <v>74</v>
      </c>
      <c r="B44" s="28">
        <v>25.545999999999999</v>
      </c>
      <c r="C44" s="28">
        <v>18.738</v>
      </c>
      <c r="D44" s="28">
        <v>16.739000000000001</v>
      </c>
      <c r="E44" s="28">
        <v>32.701000000000001</v>
      </c>
      <c r="F44" s="28">
        <v>25.1</v>
      </c>
      <c r="G44" s="28"/>
      <c r="H44" s="28"/>
      <c r="I44" s="28"/>
    </row>
    <row r="46" spans="1:9">
      <c r="A46" s="14" t="s">
        <v>75</v>
      </c>
      <c r="B46" s="33">
        <f>SUM(B12:E12)</f>
        <v>693.27700000000004</v>
      </c>
      <c r="C46" s="33">
        <f>SUM(C12:F12)</f>
        <v>690.67100000000005</v>
      </c>
      <c r="D46" s="33">
        <f>SUM(D12:G12)</f>
        <v>682.86700000000008</v>
      </c>
      <c r="E46" s="33">
        <f>SUM(E12:H12)</f>
        <v>678.75800000000004</v>
      </c>
      <c r="F46" s="33">
        <f>SUM(F12:I12)</f>
        <v>672.79700000000003</v>
      </c>
    </row>
    <row r="47" spans="1:9">
      <c r="A47" s="14" t="s">
        <v>76</v>
      </c>
      <c r="B47" s="33">
        <f>+B27</f>
        <v>131.70300000000003</v>
      </c>
      <c r="C47" s="33">
        <f>+C27</f>
        <v>129.08100000000002</v>
      </c>
      <c r="D47" s="33">
        <f>+D27</f>
        <v>126.348</v>
      </c>
      <c r="E47" s="33">
        <f>+E27</f>
        <v>127.59699999999999</v>
      </c>
      <c r="F47" s="33">
        <f>+F27</f>
        <v>125.27000000000004</v>
      </c>
    </row>
    <row r="48" spans="1:9">
      <c r="A48" s="14" t="s">
        <v>77</v>
      </c>
      <c r="B48" s="33">
        <f>+SUM(B37:E37)</f>
        <v>24.47</v>
      </c>
      <c r="C48" s="33">
        <f>+SUM(C37:F37)</f>
        <v>15.771000000000001</v>
      </c>
      <c r="D48" s="33">
        <f>+SUM(D37:G37)</f>
        <v>23.408999999999999</v>
      </c>
      <c r="E48" s="33">
        <f>+SUM(E37:H37)</f>
        <v>29.585999999999999</v>
      </c>
      <c r="F48" s="33">
        <f>+SUM(F37:I37)</f>
        <v>20.012999999999998</v>
      </c>
    </row>
    <row r="50" spans="1:9" s="37" customFormat="1">
      <c r="A50" s="37" t="s">
        <v>78</v>
      </c>
      <c r="B50" s="37">
        <f>+SUM(B39:B40)/B47</f>
        <v>4.9854369300623356</v>
      </c>
      <c r="C50" s="37">
        <f>+SUM(C39:C40)/C47</f>
        <v>4.9982878967470024</v>
      </c>
      <c r="D50" s="37">
        <f>+SUM(D39:D40)/D47</f>
        <v>5.1057713616361164</v>
      </c>
      <c r="E50" s="37">
        <f>+SUM(E39:E40)/E47</f>
        <v>4.4391717673613016</v>
      </c>
      <c r="F50" s="37">
        <f>+SUM(F39:F40)/F47</f>
        <v>4.5485830605891273</v>
      </c>
    </row>
    <row r="51" spans="1:9" s="37" customFormat="1">
      <c r="A51" s="37" t="s">
        <v>79</v>
      </c>
      <c r="B51" s="37">
        <f>+B41/B47</f>
        <v>5.4865644670204921</v>
      </c>
      <c r="C51" s="37">
        <f>+C41/C47</f>
        <v>5.5071001929021293</v>
      </c>
      <c r="D51" s="37">
        <f>+D41/D47</f>
        <v>5.625486750878526</v>
      </c>
      <c r="E51" s="37">
        <f>+E41/E47</f>
        <v>5.6865051686168169</v>
      </c>
      <c r="F51" s="37">
        <f>+F41/F47</f>
        <v>5.8258242196854786</v>
      </c>
    </row>
    <row r="52" spans="1:9" s="37" customFormat="1">
      <c r="A52" s="37" t="s">
        <v>80</v>
      </c>
      <c r="B52" s="37">
        <f>+(B41-B44)/B47</f>
        <v>5.2925977388518088</v>
      </c>
      <c r="C52" s="37">
        <f>+(C41-C44)/C47</f>
        <v>5.361935528853973</v>
      </c>
      <c r="D52" s="37">
        <f>+(D41-D44)/D47</f>
        <v>5.4930034507867163</v>
      </c>
      <c r="E52" s="37">
        <f>+(E41-E44)/E47</f>
        <v>5.4302217136766533</v>
      </c>
      <c r="F52" s="37">
        <f>+(F41-F44)/F47</f>
        <v>5.6254570128522383</v>
      </c>
    </row>
    <row r="53" spans="1:9" s="38" customFormat="1">
      <c r="A53" s="38" t="s">
        <v>81</v>
      </c>
      <c r="B53" s="38">
        <f>+B48/B41</f>
        <v>3.3863965668277062E-2</v>
      </c>
      <c r="C53" s="38">
        <f>+C48/C41</f>
        <v>2.2185740692286272E-2</v>
      </c>
      <c r="D53" s="38">
        <f>+D48/D41</f>
        <v>3.2934750952841214E-2</v>
      </c>
      <c r="E53" s="38">
        <f>+E48/E41</f>
        <v>4.0775599140550817E-2</v>
      </c>
      <c r="F53" s="38">
        <f>+F48/F41</f>
        <v>2.7422543953762729E-2</v>
      </c>
    </row>
    <row r="54" spans="1:9" s="38" customFormat="1">
      <c r="A54" s="39" t="s">
        <v>82</v>
      </c>
      <c r="B54" s="40"/>
      <c r="C54" s="40"/>
      <c r="D54" s="40"/>
      <c r="E54" s="40"/>
      <c r="F54" s="40"/>
      <c r="G54" s="39"/>
      <c r="H54" s="39"/>
      <c r="I54" s="39"/>
    </row>
    <row r="55" spans="1:9" s="38" customFormat="1">
      <c r="A55" s="38" t="s">
        <v>83</v>
      </c>
      <c r="B55" s="41" t="str">
        <f>IF(B42=0,IF(B54="","","*"&amp;TEXT(B54,"0.0x")),(B41+B42-B44)/B47)</f>
        <v/>
      </c>
      <c r="C55" s="41" t="str">
        <f>IF(C42=0,IF(C54="","","*"&amp;TEXT(C54,"0.0x")),(C41+C42-C44)/C47)</f>
        <v/>
      </c>
      <c r="D55" s="41" t="str">
        <f>IF(D42=0,IF(D54="","","*"&amp;TEXT(D54,"0.0x")),(D41+D42-D44)/D47)</f>
        <v/>
      </c>
      <c r="E55" s="41" t="str">
        <f>IF(E42=0,IF(E54="","","*"&amp;TEXT(E54,"0.0x")),(E41+E42-E44)/E47)</f>
        <v/>
      </c>
      <c r="F55" s="41" t="str">
        <f>IF(F42=0,IF(F54="","","*"&amp;TEXT(F54,"0.0x")),(F41+F42-F44)/F47)</f>
        <v/>
      </c>
      <c r="G55" s="41" t="str">
        <f>IF(G42=0,IF(G54="","",CONCATENATE("* ",G54,"x")),(G41+G42-G44)/G47)</f>
        <v/>
      </c>
      <c r="H55" s="41" t="str">
        <f>IF(H42=0,IF(H54="","",CONCATENATE("* ",H54,"x")),(H41+H42-H44)/H47)</f>
        <v/>
      </c>
      <c r="I55" s="41" t="str">
        <f>IF(I42=0,IF(I54="","",CONCATENATE("* ",I54,"x")),(I41+I42-I44)/I47)</f>
        <v/>
      </c>
    </row>
    <row r="56" spans="1:9">
      <c r="F56" s="42"/>
    </row>
    <row r="57" spans="1:9" ht="80.25" customHeight="1">
      <c r="A57" s="43" t="s">
        <v>84</v>
      </c>
      <c r="B57" s="44" t="s">
        <v>90</v>
      </c>
      <c r="C57" s="44"/>
      <c r="D57" s="44"/>
      <c r="E57" s="44"/>
      <c r="F57" s="44"/>
      <c r="G57" s="44"/>
      <c r="H57" s="44"/>
      <c r="I57" s="44"/>
    </row>
    <row r="58" spans="1:9">
      <c r="A58" s="45"/>
      <c r="B58" s="42"/>
    </row>
    <row r="59" spans="1:9">
      <c r="A59" s="45"/>
    </row>
  </sheetData>
  <pageMargins left="0.7" right="0.7" top="0.75" bottom="0.75" header="0.3" footer="0.3"/>
  <pageSetup orientation="portrait"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2:AD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8" width="10.6640625" style="14" customWidth="1"/>
    <col min="19" max="16384" width="9.109375" style="14"/>
  </cols>
  <sheetData>
    <row r="2" spans="1:30">
      <c r="A2" s="13" t="s">
        <v>44</v>
      </c>
      <c r="B2" s="14" t="s">
        <v>280</v>
      </c>
    </row>
    <row r="3" spans="1:30" s="16" customFormat="1">
      <c r="A3" s="15" t="s">
        <v>45</v>
      </c>
      <c r="B3" s="16" t="s">
        <v>281</v>
      </c>
    </row>
    <row r="4" spans="1:30">
      <c r="A4" s="13" t="s">
        <v>2</v>
      </c>
      <c r="B4" s="14" t="s">
        <v>4</v>
      </c>
    </row>
    <row r="5" spans="1:30">
      <c r="A5" s="13" t="s">
        <v>46</v>
      </c>
    </row>
    <row r="6" spans="1:30">
      <c r="A6" s="13" t="s">
        <v>47</v>
      </c>
      <c r="B6" s="14">
        <v>4</v>
      </c>
    </row>
    <row r="7" spans="1:30">
      <c r="A7" s="13" t="s">
        <v>48</v>
      </c>
      <c r="B7" s="14" t="s">
        <v>237</v>
      </c>
    </row>
    <row r="8" spans="1:30">
      <c r="A8" s="13" t="s">
        <v>347</v>
      </c>
      <c r="B8" s="14" t="s">
        <v>362</v>
      </c>
    </row>
    <row r="9" spans="1:30">
      <c r="A9" s="17"/>
    </row>
    <row r="10" spans="1:30">
      <c r="A10" s="17" t="s">
        <v>49</v>
      </c>
      <c r="B10" s="18">
        <v>44286</v>
      </c>
      <c r="C10" s="18">
        <v>44196</v>
      </c>
      <c r="D10" s="18">
        <v>44104</v>
      </c>
      <c r="E10" s="18">
        <v>44012</v>
      </c>
      <c r="F10" s="18">
        <v>43921</v>
      </c>
      <c r="G10" s="18">
        <v>43830</v>
      </c>
      <c r="H10" s="18">
        <v>43738</v>
      </c>
      <c r="I10" s="18">
        <v>43646</v>
      </c>
      <c r="J10" s="18">
        <v>43555</v>
      </c>
      <c r="K10" s="18">
        <v>43465</v>
      </c>
      <c r="L10" s="18">
        <v>43373</v>
      </c>
      <c r="M10" s="18">
        <v>43281</v>
      </c>
      <c r="N10" s="18">
        <f>EOMONTH(M10,-3)</f>
        <v>43190</v>
      </c>
      <c r="O10" s="18">
        <f t="shared" ref="O10:R10" si="0">EOMONTH(N10,-3)</f>
        <v>43100</v>
      </c>
      <c r="P10" s="18">
        <f t="shared" si="0"/>
        <v>43008</v>
      </c>
      <c r="Q10" s="18">
        <f t="shared" si="0"/>
        <v>42916</v>
      </c>
      <c r="R10" s="18">
        <f t="shared" si="0"/>
        <v>42825</v>
      </c>
    </row>
    <row r="12" spans="1:30">
      <c r="A12" s="19" t="s">
        <v>50</v>
      </c>
      <c r="B12" s="20">
        <v>108.3</v>
      </c>
      <c r="C12" s="20">
        <v>82.5</v>
      </c>
      <c r="D12" s="20">
        <v>76</v>
      </c>
      <c r="E12" s="20">
        <v>79.5</v>
      </c>
      <c r="F12" s="20">
        <v>109.7</v>
      </c>
      <c r="G12" s="20">
        <v>109.5</v>
      </c>
      <c r="H12" s="20">
        <v>122.3</v>
      </c>
      <c r="I12" s="20">
        <v>130.9</v>
      </c>
      <c r="J12" s="20">
        <v>135.30000000000001</v>
      </c>
      <c r="K12" s="20">
        <v>91.4</v>
      </c>
      <c r="L12" s="20">
        <v>99.2</v>
      </c>
      <c r="M12" s="20">
        <v>104.01124512241687</v>
      </c>
      <c r="N12" s="20">
        <v>107.861160950306</v>
      </c>
      <c r="O12" s="20">
        <v>90.486261662147001</v>
      </c>
      <c r="P12" s="20">
        <v>90.840044527464599</v>
      </c>
      <c r="Q12" s="20">
        <v>89.69848727409375</v>
      </c>
      <c r="R12" s="20">
        <v>87.766917787061104</v>
      </c>
    </row>
    <row r="13" spans="1:30" s="21" customFormat="1">
      <c r="A13" s="21" t="s">
        <v>51</v>
      </c>
      <c r="B13" s="21">
        <f t="shared" ref="B13:N13" si="1">+B12/F12-1</f>
        <v>-1.2762078395624488E-2</v>
      </c>
      <c r="C13" s="21">
        <f t="shared" si="1"/>
        <v>-0.24657534246575341</v>
      </c>
      <c r="D13" s="21">
        <f t="shared" si="1"/>
        <v>-0.3785772690106296</v>
      </c>
      <c r="E13" s="21">
        <f t="shared" si="1"/>
        <v>-0.3926661573720398</v>
      </c>
      <c r="F13" s="21">
        <f t="shared" si="1"/>
        <v>-0.18920916481892092</v>
      </c>
      <c r="G13" s="21">
        <f t="shared" si="1"/>
        <v>0.19803063457330405</v>
      </c>
      <c r="H13" s="21">
        <f t="shared" si="1"/>
        <v>0.23286290322580649</v>
      </c>
      <c r="I13" s="21">
        <f t="shared" si="1"/>
        <v>0.25851776743885924</v>
      </c>
      <c r="J13" s="21">
        <f t="shared" si="1"/>
        <v>0.25439035523023601</v>
      </c>
      <c r="K13" s="21">
        <f t="shared" si="1"/>
        <v>1.0098089158160573E-2</v>
      </c>
      <c r="L13" s="21">
        <f t="shared" si="1"/>
        <v>9.2029407471369673E-2</v>
      </c>
      <c r="M13" s="21">
        <f t="shared" si="1"/>
        <v>0.15956520877088254</v>
      </c>
      <c r="N13" s="21">
        <f t="shared" si="1"/>
        <v>0.22895008358385427</v>
      </c>
      <c r="T13" s="14"/>
      <c r="U13" s="14"/>
      <c r="V13" s="14"/>
      <c r="W13" s="14"/>
      <c r="X13" s="14"/>
      <c r="Y13" s="14"/>
      <c r="Z13" s="14"/>
      <c r="AA13" s="14"/>
      <c r="AB13" s="14"/>
      <c r="AC13" s="14"/>
      <c r="AD13" s="14"/>
    </row>
    <row r="14" spans="1:30"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c r="P14" s="23"/>
      <c r="Q14" s="22"/>
      <c r="R14" s="22"/>
    </row>
    <row r="16" spans="1:30" s="17" customFormat="1">
      <c r="A16" s="25" t="s">
        <v>53</v>
      </c>
      <c r="B16" s="20">
        <v>16.5</v>
      </c>
      <c r="C16" s="20">
        <v>9.3000000000000007</v>
      </c>
      <c r="D16" s="20">
        <v>10.4</v>
      </c>
      <c r="E16" s="20">
        <v>11.5</v>
      </c>
      <c r="F16" s="20">
        <v>19.015999999999998</v>
      </c>
      <c r="G16" s="20">
        <v>17.100000000000001</v>
      </c>
      <c r="H16" s="20">
        <v>18.399999999999999</v>
      </c>
      <c r="I16" s="20">
        <v>19.5</v>
      </c>
      <c r="J16" s="20">
        <v>22</v>
      </c>
      <c r="K16" s="20">
        <v>11.1</v>
      </c>
      <c r="L16" s="20">
        <v>11.597</v>
      </c>
      <c r="M16" s="20">
        <v>13.928000000000001</v>
      </c>
      <c r="N16" s="20">
        <v>14.026</v>
      </c>
      <c r="O16" s="20">
        <v>12.145</v>
      </c>
      <c r="P16" s="20">
        <v>9.9049999999999994</v>
      </c>
      <c r="Q16" s="20">
        <f>11.6936554094488+1.26318694945819</f>
        <v>12.956842358906989</v>
      </c>
      <c r="R16" s="20">
        <f>10.9284498830059+1.24918329204988</f>
        <v>12.17763317505578</v>
      </c>
    </row>
    <row r="17" spans="1:18" s="21" customFormat="1">
      <c r="A17" s="21" t="s">
        <v>54</v>
      </c>
      <c r="B17" s="21">
        <f t="shared" ref="B17:C17" si="2">+B16/B12</f>
        <v>0.15235457063711913</v>
      </c>
      <c r="C17" s="21">
        <f t="shared" si="2"/>
        <v>0.11272727272727273</v>
      </c>
      <c r="D17" s="21">
        <f t="shared" ref="D17:E17" si="3">+D16/D12</f>
        <v>0.1368421052631579</v>
      </c>
      <c r="E17" s="21">
        <f t="shared" si="3"/>
        <v>0.14465408805031446</v>
      </c>
      <c r="F17" s="21">
        <f t="shared" ref="F17:G17" si="4">+F16/F12</f>
        <v>0.17334548769371011</v>
      </c>
      <c r="G17" s="21">
        <f t="shared" si="4"/>
        <v>0.15616438356164386</v>
      </c>
      <c r="H17" s="21">
        <f t="shared" ref="H17:M17" si="5">+H16/H12</f>
        <v>0.15044971381847913</v>
      </c>
      <c r="I17" s="21">
        <f t="shared" si="5"/>
        <v>0.14896867838044309</v>
      </c>
      <c r="J17" s="21">
        <f t="shared" si="5"/>
        <v>0.16260162601626016</v>
      </c>
      <c r="K17" s="21">
        <f t="shared" si="5"/>
        <v>0.12144420131291027</v>
      </c>
      <c r="L17" s="21">
        <f t="shared" si="5"/>
        <v>0.11690524193548386</v>
      </c>
      <c r="M17" s="21">
        <f t="shared" si="5"/>
        <v>0.13390859789830734</v>
      </c>
      <c r="N17" s="21">
        <f t="shared" ref="N17:R17" si="6">+N16/N12</f>
        <v>0.13003753970775528</v>
      </c>
      <c r="O17" s="21">
        <f t="shared" si="6"/>
        <v>0.13421927016220853</v>
      </c>
      <c r="P17" s="21">
        <f t="shared" si="6"/>
        <v>0.10903781533270077</v>
      </c>
      <c r="Q17" s="21">
        <f t="shared" si="6"/>
        <v>0.14444883913498413</v>
      </c>
      <c r="R17" s="21">
        <f t="shared" si="6"/>
        <v>0.13874969615090035</v>
      </c>
    </row>
    <row r="18" spans="1:18" s="24" customFormat="1"/>
    <row r="19" spans="1:18"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row>
    <row r="20" spans="1:18"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row>
    <row r="21" spans="1:18"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row>
    <row r="22" spans="1:18" s="17" customFormat="1">
      <c r="A22" s="17" t="s">
        <v>58</v>
      </c>
      <c r="B22" s="27">
        <f t="shared" ref="B22:C22" si="7">SUM(B16,B19:B21)</f>
        <v>16.5</v>
      </c>
      <c r="C22" s="27">
        <f t="shared" si="7"/>
        <v>9.3000000000000007</v>
      </c>
      <c r="D22" s="27">
        <f t="shared" ref="D22:E22" si="8">SUM(D16,D19:D21)</f>
        <v>10.4</v>
      </c>
      <c r="E22" s="27">
        <f t="shared" si="8"/>
        <v>11.5</v>
      </c>
      <c r="F22" s="27">
        <f t="shared" ref="F22:H22" si="9">SUM(F16,F19:F21)</f>
        <v>19.015999999999998</v>
      </c>
      <c r="G22" s="27">
        <f t="shared" ref="G22" si="10">SUM(G16,G19:G21)</f>
        <v>17.100000000000001</v>
      </c>
      <c r="H22" s="27">
        <f t="shared" si="9"/>
        <v>18.399999999999999</v>
      </c>
      <c r="I22" s="27">
        <f t="shared" ref="I22:R22" si="11">SUM(I16,I19:I21)</f>
        <v>19.5</v>
      </c>
      <c r="J22" s="27">
        <f t="shared" si="11"/>
        <v>22</v>
      </c>
      <c r="K22" s="27">
        <f t="shared" si="11"/>
        <v>11.1</v>
      </c>
      <c r="L22" s="27">
        <f t="shared" si="11"/>
        <v>11.597</v>
      </c>
      <c r="M22" s="27">
        <f t="shared" si="11"/>
        <v>13.928000000000001</v>
      </c>
      <c r="N22" s="27">
        <f t="shared" si="11"/>
        <v>14.026</v>
      </c>
      <c r="O22" s="27">
        <f t="shared" si="11"/>
        <v>12.145</v>
      </c>
      <c r="P22" s="27">
        <f t="shared" si="11"/>
        <v>9.9049999999999994</v>
      </c>
      <c r="Q22" s="27">
        <f t="shared" si="11"/>
        <v>12.956842358906989</v>
      </c>
      <c r="R22" s="27">
        <f t="shared" si="11"/>
        <v>12.17763317505578</v>
      </c>
    </row>
    <row r="23" spans="1:18" s="17" customFormat="1">
      <c r="B23" s="27"/>
      <c r="C23" s="27"/>
      <c r="D23" s="27"/>
      <c r="E23" s="27"/>
      <c r="F23" s="27"/>
      <c r="G23" s="27"/>
      <c r="H23" s="27"/>
      <c r="I23" s="27"/>
      <c r="J23" s="27"/>
      <c r="K23" s="27"/>
      <c r="L23" s="27"/>
      <c r="M23" s="27"/>
      <c r="N23" s="27"/>
      <c r="O23" s="27"/>
      <c r="P23" s="27"/>
      <c r="Q23" s="27"/>
      <c r="R23" s="27"/>
    </row>
    <row r="24" spans="1:18" s="17" customFormat="1">
      <c r="A24" s="17" t="s">
        <v>59</v>
      </c>
      <c r="B24" s="27">
        <f t="shared" ref="B24:O24" si="12">SUM(B22:E22)</f>
        <v>47.7</v>
      </c>
      <c r="C24" s="27">
        <f t="shared" si="12"/>
        <v>50.216000000000001</v>
      </c>
      <c r="D24" s="27">
        <f t="shared" si="12"/>
        <v>58.015999999999998</v>
      </c>
      <c r="E24" s="27">
        <f t="shared" si="12"/>
        <v>66.015999999999991</v>
      </c>
      <c r="F24" s="27">
        <f t="shared" si="12"/>
        <v>74.015999999999991</v>
      </c>
      <c r="G24" s="46">
        <v>48.1</v>
      </c>
      <c r="H24" s="46">
        <v>48.155999999999999</v>
      </c>
      <c r="I24" s="46">
        <v>48.453000000000003</v>
      </c>
      <c r="J24" s="46">
        <v>49.180999999999997</v>
      </c>
      <c r="K24" s="27">
        <f t="shared" si="12"/>
        <v>50.650999999999996</v>
      </c>
      <c r="L24" s="27">
        <f t="shared" si="12"/>
        <v>51.695999999999998</v>
      </c>
      <c r="M24" s="27">
        <f t="shared" si="12"/>
        <v>50.004000000000005</v>
      </c>
      <c r="N24" s="27">
        <f t="shared" si="12"/>
        <v>49.03284235890699</v>
      </c>
      <c r="O24" s="27">
        <f t="shared" si="12"/>
        <v>47.184475533962768</v>
      </c>
      <c r="P24" s="27"/>
      <c r="Q24" s="27"/>
      <c r="R24" s="27"/>
    </row>
    <row r="25" spans="1:18" s="24" customFormat="1">
      <c r="A25" s="19" t="s">
        <v>60</v>
      </c>
      <c r="B25" s="28">
        <f>47.749-B24</f>
        <v>4.8999999999999488E-2</v>
      </c>
      <c r="C25" s="28">
        <f>50.894-C24</f>
        <v>0.67799999999999727</v>
      </c>
      <c r="D25" s="28">
        <f>56.9-D24</f>
        <v>-1.1159999999999997</v>
      </c>
      <c r="E25" s="28">
        <f>64.831-E24</f>
        <v>-1.1849999999999881</v>
      </c>
      <c r="F25" s="28">
        <f>73.984-F24</f>
        <v>-3.1999999999996476E-2</v>
      </c>
      <c r="G25" s="28">
        <v>0</v>
      </c>
      <c r="H25" s="28">
        <f>48.14-H24</f>
        <v>-1.5999999999998238E-2</v>
      </c>
      <c r="I25" s="28">
        <v>0</v>
      </c>
      <c r="J25" s="28">
        <v>0</v>
      </c>
      <c r="K25" s="28">
        <v>0</v>
      </c>
      <c r="L25" s="28">
        <f>M25</f>
        <v>-4.0000000000048885E-3</v>
      </c>
      <c r="M25" s="28">
        <f>50-M24</f>
        <v>-4.0000000000048885E-3</v>
      </c>
      <c r="N25" s="28">
        <f>O25</f>
        <v>0.21552446603723041</v>
      </c>
      <c r="O25" s="28">
        <f>47.4-O24</f>
        <v>0.21552446603723041</v>
      </c>
      <c r="P25" s="28"/>
      <c r="Q25" s="28"/>
      <c r="R25" s="28"/>
    </row>
    <row r="26" spans="1:18" s="24" customFormat="1">
      <c r="A26" s="19" t="s">
        <v>61</v>
      </c>
      <c r="B26" s="29">
        <v>0</v>
      </c>
      <c r="C26" s="29">
        <v>0</v>
      </c>
      <c r="D26" s="29">
        <v>0</v>
      </c>
      <c r="E26" s="29">
        <v>0</v>
      </c>
      <c r="F26" s="29">
        <v>0</v>
      </c>
      <c r="G26" s="29">
        <v>28.5</v>
      </c>
      <c r="H26" s="29">
        <v>0</v>
      </c>
      <c r="I26" s="29">
        <v>0</v>
      </c>
      <c r="J26" s="29">
        <v>0</v>
      </c>
      <c r="K26" s="29">
        <v>0</v>
      </c>
      <c r="L26" s="29">
        <v>0</v>
      </c>
      <c r="M26" s="29">
        <v>0</v>
      </c>
      <c r="N26" s="29">
        <v>0</v>
      </c>
      <c r="O26" s="29">
        <v>0</v>
      </c>
      <c r="P26" s="29"/>
      <c r="Q26" s="29"/>
      <c r="R26" s="30"/>
    </row>
    <row r="27" spans="1:18" s="32" customFormat="1">
      <c r="A27" s="17" t="s">
        <v>62</v>
      </c>
      <c r="B27" s="27">
        <f t="shared" ref="B27:C27" si="13">SUM(B24:B26)</f>
        <v>47.749000000000002</v>
      </c>
      <c r="C27" s="27">
        <f t="shared" si="13"/>
        <v>50.893999999999998</v>
      </c>
      <c r="D27" s="27">
        <f t="shared" ref="D27:E27" si="14">SUM(D24:D26)</f>
        <v>56.9</v>
      </c>
      <c r="E27" s="27">
        <f t="shared" si="14"/>
        <v>64.831000000000003</v>
      </c>
      <c r="F27" s="27">
        <f t="shared" ref="F27:G27" si="15">SUM(F24:F26)</f>
        <v>73.983999999999995</v>
      </c>
      <c r="G27" s="27">
        <f t="shared" si="15"/>
        <v>76.599999999999994</v>
      </c>
      <c r="H27" s="27">
        <f t="shared" ref="H27:I27" si="16">SUM(H24:H26)</f>
        <v>48.14</v>
      </c>
      <c r="I27" s="27">
        <f t="shared" si="16"/>
        <v>48.453000000000003</v>
      </c>
      <c r="J27" s="27">
        <f t="shared" ref="J27:O27" si="17">SUM(J24:J26)</f>
        <v>49.180999999999997</v>
      </c>
      <c r="K27" s="27">
        <f t="shared" si="17"/>
        <v>50.650999999999996</v>
      </c>
      <c r="L27" s="27">
        <f t="shared" si="17"/>
        <v>51.691999999999993</v>
      </c>
      <c r="M27" s="27">
        <f t="shared" si="17"/>
        <v>50</v>
      </c>
      <c r="N27" s="27">
        <f t="shared" si="17"/>
        <v>49.24836682494422</v>
      </c>
      <c r="O27" s="27">
        <f t="shared" si="17"/>
        <v>47.4</v>
      </c>
      <c r="P27" s="27"/>
      <c r="Q27" s="27"/>
      <c r="R27" s="31"/>
    </row>
    <row r="28" spans="1:18" s="24" customFormat="1"/>
    <row r="29" spans="1:18" s="17" customFormat="1">
      <c r="A29" s="17" t="s">
        <v>58</v>
      </c>
      <c r="B29" s="27">
        <f t="shared" ref="B29" si="18">B22</f>
        <v>16.5</v>
      </c>
      <c r="C29" s="27">
        <f t="shared" ref="C29:D29" si="19">C22</f>
        <v>9.3000000000000007</v>
      </c>
      <c r="D29" s="27">
        <f t="shared" si="19"/>
        <v>10.4</v>
      </c>
      <c r="E29" s="27">
        <f t="shared" ref="E29:H29" si="20">E22</f>
        <v>11.5</v>
      </c>
      <c r="F29" s="27">
        <f t="shared" si="20"/>
        <v>19.015999999999998</v>
      </c>
      <c r="G29" s="27">
        <f t="shared" si="20"/>
        <v>17.100000000000001</v>
      </c>
      <c r="H29" s="27">
        <f t="shared" si="20"/>
        <v>18.399999999999999</v>
      </c>
      <c r="I29" s="27">
        <f t="shared" ref="I29:R29" si="21">I22</f>
        <v>19.5</v>
      </c>
      <c r="J29" s="27">
        <f t="shared" si="21"/>
        <v>22</v>
      </c>
      <c r="K29" s="27">
        <f t="shared" si="21"/>
        <v>11.1</v>
      </c>
      <c r="L29" s="27">
        <f t="shared" si="21"/>
        <v>11.597</v>
      </c>
      <c r="M29" s="27">
        <f t="shared" si="21"/>
        <v>13.928000000000001</v>
      </c>
      <c r="N29" s="27">
        <f t="shared" si="21"/>
        <v>14.026</v>
      </c>
      <c r="O29" s="27">
        <f t="shared" si="21"/>
        <v>12.145</v>
      </c>
      <c r="P29" s="27">
        <f t="shared" si="21"/>
        <v>9.9049999999999994</v>
      </c>
      <c r="Q29" s="27">
        <f t="shared" si="21"/>
        <v>12.956842358906989</v>
      </c>
      <c r="R29" s="27">
        <f t="shared" si="21"/>
        <v>12.17763317505578</v>
      </c>
    </row>
    <row r="30" spans="1:18" s="33" customFormat="1">
      <c r="A30" s="20" t="s">
        <v>63</v>
      </c>
      <c r="B30" s="20">
        <v>-7.8079999999999998</v>
      </c>
      <c r="C30" s="20">
        <f>-24.248-D30-E30-F30</f>
        <v>-3.1580000000000004</v>
      </c>
      <c r="D30" s="20">
        <v>-7.5880000000000001</v>
      </c>
      <c r="E30" s="20">
        <v>-8.2669999999999995</v>
      </c>
      <c r="F30" s="20">
        <v>-5.2350000000000003</v>
      </c>
      <c r="G30" s="20">
        <v>-5.8639999999999999</v>
      </c>
      <c r="H30" s="20">
        <v>-4.6429999999999998</v>
      </c>
      <c r="I30" s="20">
        <v>-5.2530000000000001</v>
      </c>
      <c r="J30" s="20">
        <v>-5.3819999999999997</v>
      </c>
      <c r="K30" s="20">
        <v>-1.3959999999999999</v>
      </c>
      <c r="L30" s="20">
        <f>-6.845-M30-N30</f>
        <v>-1.4677700663117101</v>
      </c>
      <c r="M30" s="20">
        <v>-2.6869575388617797</v>
      </c>
      <c r="N30" s="20">
        <v>-2.6902723948265099</v>
      </c>
      <c r="O30" s="20">
        <v>-2.6350734860578204</v>
      </c>
      <c r="P30" s="20">
        <v>-2.6459554079705825</v>
      </c>
      <c r="Q30" s="20">
        <v>-2.5249530388868497</v>
      </c>
      <c r="R30" s="20">
        <v>-2.5050904553594098</v>
      </c>
    </row>
    <row r="31" spans="1:18" s="33" customFormat="1">
      <c r="A31" s="20" t="s">
        <v>64</v>
      </c>
      <c r="B31" s="20">
        <v>1.153</v>
      </c>
      <c r="C31" s="20">
        <f>-1.839-D31-E31-F31</f>
        <v>-5.218</v>
      </c>
      <c r="D31" s="20">
        <v>1.024</v>
      </c>
      <c r="E31" s="20">
        <v>2.6440000000000001</v>
      </c>
      <c r="F31" s="20">
        <v>-0.28899999999999998</v>
      </c>
      <c r="G31" s="20">
        <v>2.3260000000000001</v>
      </c>
      <c r="H31" s="20">
        <v>1.9670000000000001</v>
      </c>
      <c r="I31" s="20">
        <v>-1.363</v>
      </c>
      <c r="J31" s="20">
        <v>-1.383</v>
      </c>
      <c r="K31" s="20">
        <v>-1.663</v>
      </c>
      <c r="L31" s="20">
        <f>-5.001-M31-N31</f>
        <v>0.24042519458551892</v>
      </c>
      <c r="M31" s="20">
        <v>-2.8812348798441798</v>
      </c>
      <c r="N31" s="20">
        <v>-2.3601903147413394</v>
      </c>
      <c r="O31" s="20">
        <v>-1.5808776232014807</v>
      </c>
      <c r="P31" s="20">
        <v>-1.9025127576818976</v>
      </c>
      <c r="Q31" s="20">
        <v>-2.07433293320394</v>
      </c>
      <c r="R31" s="20">
        <v>-2.65803748044106</v>
      </c>
    </row>
    <row r="32" spans="1:18" s="33" customFormat="1">
      <c r="A32" s="20" t="s">
        <v>65</v>
      </c>
      <c r="B32" s="20">
        <v>-12.494</v>
      </c>
      <c r="C32" s="20">
        <f>11.671+6.169-0.874+1.305-6.92+0.033-D32-E32-F32</f>
        <v>2.6829999999999998</v>
      </c>
      <c r="D32" s="20">
        <v>2.1850000000000001</v>
      </c>
      <c r="E32" s="20">
        <v>11.741</v>
      </c>
      <c r="F32" s="20">
        <f>-5.225</f>
        <v>-5.2249999999999996</v>
      </c>
      <c r="G32" s="20">
        <f>8.209-2.604</f>
        <v>5.6049999999999995</v>
      </c>
      <c r="H32" s="20">
        <v>6.2859999999999996</v>
      </c>
      <c r="I32" s="20">
        <v>-2.5169999999999999</v>
      </c>
      <c r="J32" s="20">
        <f>+-11.925+0.44</f>
        <v>-11.485000000000001</v>
      </c>
      <c r="K32" s="20">
        <f>4.887+5.255+1.082-1.017+10.842-0.142</f>
        <v>20.907</v>
      </c>
      <c r="L32" s="20">
        <f>-5.029-0.455-0.517-3.655-4.758+43.262-0.384-M32-N32</f>
        <v>32.176611429279852</v>
      </c>
      <c r="M32" s="20">
        <v>1.4278040815988029</v>
      </c>
      <c r="N32" s="20">
        <v>-5.1404155108786558</v>
      </c>
      <c r="O32" s="20">
        <v>-5.4549136532103661</v>
      </c>
      <c r="P32" s="20">
        <v>1.5726816696408998</v>
      </c>
      <c r="Q32" s="20">
        <v>-0.40845939825386268</v>
      </c>
      <c r="R32" s="20">
        <v>-11.129725164232083</v>
      </c>
    </row>
    <row r="33" spans="1:18"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row>
    <row r="34" spans="1:18"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row>
    <row r="35" spans="1:18" s="27" customFormat="1">
      <c r="A35" s="27" t="s">
        <v>67</v>
      </c>
      <c r="B35" s="27">
        <v>-7.9379999999999997</v>
      </c>
      <c r="C35" s="27">
        <f>16.757-D35-E35-F35</f>
        <v>3.4810000000000012</v>
      </c>
      <c r="D35" s="27">
        <v>5.1760000000000002</v>
      </c>
      <c r="E35" s="27">
        <v>11.375</v>
      </c>
      <c r="F35" s="27">
        <v>-3.2749999999999999</v>
      </c>
      <c r="G35" s="27">
        <v>9.1560000000000006</v>
      </c>
      <c r="H35" s="27">
        <v>11.545999999999999</v>
      </c>
      <c r="I35" s="27">
        <v>1.6359999999999999</v>
      </c>
      <c r="J35" s="27">
        <v>-7.274</v>
      </c>
      <c r="K35" s="27">
        <v>8.4480000000000004</v>
      </c>
      <c r="L35" s="27">
        <f>12.22-M35-N35</f>
        <v>-0.34525052925522015</v>
      </c>
      <c r="M35" s="27">
        <v>10.482882250878593</v>
      </c>
      <c r="N35" s="27">
        <v>2.0823682783766282</v>
      </c>
      <c r="O35" s="27">
        <v>3.3309427989468783</v>
      </c>
      <c r="P35" s="27">
        <v>9.3252467070217886</v>
      </c>
      <c r="Q35" s="27">
        <v>2.2871841627713398</v>
      </c>
      <c r="R35" s="27">
        <v>-4.4856626257978878</v>
      </c>
    </row>
    <row r="36" spans="1:18" s="33" customFormat="1">
      <c r="A36" s="20" t="s">
        <v>68</v>
      </c>
      <c r="B36" s="29">
        <v>-0.629</v>
      </c>
      <c r="C36" s="29">
        <f>-4.162-D36-E36-F36</f>
        <v>-1.4129999999999998</v>
      </c>
      <c r="D36" s="29">
        <v>-1.262</v>
      </c>
      <c r="E36" s="29">
        <v>-0.85099999999999998</v>
      </c>
      <c r="F36" s="29">
        <v>-0.63600000000000001</v>
      </c>
      <c r="G36" s="29">
        <v>-1.0649999999999999</v>
      </c>
      <c r="H36" s="29">
        <v>-1.218</v>
      </c>
      <c r="I36" s="29">
        <v>-1.0669999999999999</v>
      </c>
      <c r="J36" s="29">
        <v>-0.83899999999999997</v>
      </c>
      <c r="K36" s="29">
        <v>-0.439</v>
      </c>
      <c r="L36" s="29">
        <f>-1.369-M36-N36</f>
        <v>-0.67345172754493854</v>
      </c>
      <c r="M36" s="29">
        <v>-0.37674785020301388</v>
      </c>
      <c r="N36" s="29">
        <v>-0.31880042225204752</v>
      </c>
      <c r="O36" s="29">
        <v>-1.2457026273237319</v>
      </c>
      <c r="P36" s="29">
        <v>-0.70064293583394288</v>
      </c>
      <c r="Q36" s="29">
        <v>-0.39702708697493005</v>
      </c>
      <c r="R36" s="29">
        <v>-0.39887686231844882</v>
      </c>
    </row>
    <row r="37" spans="1:18" s="27" customFormat="1">
      <c r="A37" s="27" t="s">
        <v>69</v>
      </c>
      <c r="B37" s="27">
        <f t="shared" ref="B37:M37" si="22">+B35+B36</f>
        <v>-8.5670000000000002</v>
      </c>
      <c r="C37" s="27">
        <f t="shared" si="22"/>
        <v>2.0680000000000014</v>
      </c>
      <c r="D37" s="27">
        <f t="shared" si="22"/>
        <v>3.9140000000000001</v>
      </c>
      <c r="E37" s="27">
        <f t="shared" si="22"/>
        <v>10.524000000000001</v>
      </c>
      <c r="F37" s="27">
        <f t="shared" si="22"/>
        <v>-3.911</v>
      </c>
      <c r="G37" s="27">
        <f t="shared" si="22"/>
        <v>8.0910000000000011</v>
      </c>
      <c r="H37" s="27">
        <f t="shared" si="22"/>
        <v>10.327999999999999</v>
      </c>
      <c r="I37" s="27">
        <f t="shared" si="22"/>
        <v>0.56899999999999995</v>
      </c>
      <c r="J37" s="27">
        <f t="shared" si="22"/>
        <v>-8.1129999999999995</v>
      </c>
      <c r="K37" s="27">
        <f t="shared" si="22"/>
        <v>8.0090000000000003</v>
      </c>
      <c r="L37" s="27">
        <f t="shared" si="22"/>
        <v>-1.0187022568001587</v>
      </c>
      <c r="M37" s="27">
        <f t="shared" si="22"/>
        <v>10.106134400675579</v>
      </c>
      <c r="N37" s="27">
        <f t="shared" ref="N37:R37" si="23">+N35+N36</f>
        <v>1.7635678561245807</v>
      </c>
      <c r="O37" s="27">
        <f t="shared" si="23"/>
        <v>2.0852401716231466</v>
      </c>
      <c r="P37" s="27">
        <f t="shared" si="23"/>
        <v>8.6246037711878465</v>
      </c>
      <c r="Q37" s="27">
        <f t="shared" si="23"/>
        <v>1.8901570757964099</v>
      </c>
      <c r="R37" s="27">
        <f t="shared" si="23"/>
        <v>-4.8845394881163369</v>
      </c>
    </row>
    <row r="39" spans="1:18" s="35" customFormat="1">
      <c r="A39" s="34" t="s">
        <v>70</v>
      </c>
      <c r="B39" s="20">
        <f>C39</f>
        <v>30</v>
      </c>
      <c r="C39" s="20">
        <v>30</v>
      </c>
      <c r="D39" s="20">
        <v>30.8</v>
      </c>
      <c r="E39" s="20">
        <v>30.8</v>
      </c>
      <c r="F39" s="20">
        <v>30</v>
      </c>
      <c r="G39" s="20">
        <v>0</v>
      </c>
      <c r="H39" s="20">
        <v>0</v>
      </c>
      <c r="I39" s="20">
        <v>1.9</v>
      </c>
      <c r="J39" s="20">
        <v>3.8</v>
      </c>
      <c r="K39" s="20">
        <v>4.5</v>
      </c>
      <c r="L39" s="20">
        <f>M39</f>
        <v>0</v>
      </c>
      <c r="M39" s="20">
        <v>0</v>
      </c>
      <c r="N39" s="20"/>
      <c r="O39" s="20"/>
      <c r="P39" s="20"/>
      <c r="Q39" s="20"/>
      <c r="R39" s="20"/>
    </row>
    <row r="40" spans="1:18" s="35" customFormat="1">
      <c r="A40" s="34" t="s">
        <v>71</v>
      </c>
      <c r="B40" s="20">
        <f>439.084-B39</f>
        <v>409.084</v>
      </c>
      <c r="C40" s="20">
        <f>408.257+2.993</f>
        <v>411.25</v>
      </c>
      <c r="D40" s="20">
        <f>410.9+3</f>
        <v>413.9</v>
      </c>
      <c r="E40" s="20">
        <f>413.6+3</f>
        <v>416.6</v>
      </c>
      <c r="F40" s="20">
        <f>416.3+3</f>
        <v>419.3</v>
      </c>
      <c r="G40" s="20">
        <f>234+185+3</f>
        <v>422</v>
      </c>
      <c r="H40" s="20">
        <f>238.772</f>
        <v>238.77199999999999</v>
      </c>
      <c r="I40" s="20">
        <f>237+3.8</f>
        <v>240.8</v>
      </c>
      <c r="J40" s="20">
        <f>238.5+3.6</f>
        <v>242.1</v>
      </c>
      <c r="K40" s="20">
        <f>240+3.798</f>
        <v>243.798</v>
      </c>
      <c r="L40" s="20">
        <f>M40</f>
        <v>240</v>
      </c>
      <c r="M40" s="20">
        <v>240</v>
      </c>
      <c r="N40" s="20"/>
      <c r="O40" s="20"/>
      <c r="P40" s="20"/>
      <c r="Q40" s="20"/>
      <c r="R40" s="20"/>
    </row>
    <row r="41" spans="1:18" s="35" customFormat="1">
      <c r="A41" s="34" t="s">
        <v>72</v>
      </c>
      <c r="B41" s="20">
        <f t="shared" ref="B41:G41" si="24">B39+B40</f>
        <v>439.084</v>
      </c>
      <c r="C41" s="20">
        <f t="shared" si="24"/>
        <v>441.25</v>
      </c>
      <c r="D41" s="20">
        <f t="shared" si="24"/>
        <v>444.7</v>
      </c>
      <c r="E41" s="20">
        <f t="shared" si="24"/>
        <v>447.40000000000003</v>
      </c>
      <c r="F41" s="20">
        <f t="shared" si="24"/>
        <v>449.3</v>
      </c>
      <c r="G41" s="20">
        <f t="shared" si="24"/>
        <v>422</v>
      </c>
      <c r="H41" s="20">
        <f t="shared" ref="H41:M41" si="25">H39+H40</f>
        <v>238.77199999999999</v>
      </c>
      <c r="I41" s="20">
        <f t="shared" si="25"/>
        <v>242.70000000000002</v>
      </c>
      <c r="J41" s="20">
        <f t="shared" si="25"/>
        <v>245.9</v>
      </c>
      <c r="K41" s="20">
        <f t="shared" si="25"/>
        <v>248.298</v>
      </c>
      <c r="L41" s="20">
        <f t="shared" si="25"/>
        <v>240</v>
      </c>
      <c r="M41" s="20">
        <f t="shared" si="25"/>
        <v>240</v>
      </c>
      <c r="N41" s="20"/>
      <c r="O41" s="20"/>
      <c r="P41" s="20"/>
      <c r="Q41" s="20"/>
      <c r="R41" s="20"/>
    </row>
    <row r="42" spans="1:18" s="35" customFormat="1">
      <c r="A42" s="34" t="s">
        <v>73</v>
      </c>
      <c r="B42" s="36">
        <v>156.48500000000001</v>
      </c>
      <c r="C42" s="36">
        <v>158.58500000000001</v>
      </c>
      <c r="D42" s="36">
        <v>230.3</v>
      </c>
      <c r="E42" s="36">
        <v>231.8</v>
      </c>
      <c r="F42" s="36">
        <v>242.4</v>
      </c>
      <c r="G42" s="36">
        <f>193+80</f>
        <v>273</v>
      </c>
      <c r="H42" s="36">
        <v>173.8</v>
      </c>
      <c r="I42" s="36">
        <v>177.1</v>
      </c>
      <c r="J42" s="36">
        <v>177.1</v>
      </c>
      <c r="K42" s="36">
        <v>177.4</v>
      </c>
      <c r="L42" s="36">
        <v>0</v>
      </c>
      <c r="M42" s="36">
        <v>0</v>
      </c>
      <c r="N42" s="36"/>
      <c r="O42" s="36"/>
      <c r="P42" s="36"/>
      <c r="Q42" s="36"/>
      <c r="R42" s="36"/>
    </row>
    <row r="43" spans="1:18">
      <c r="B43" s="35"/>
      <c r="C43" s="35"/>
      <c r="D43" s="35"/>
      <c r="E43" s="35"/>
      <c r="F43" s="35"/>
      <c r="G43" s="35"/>
      <c r="H43" s="35"/>
      <c r="I43" s="35"/>
      <c r="J43" s="35"/>
      <c r="K43" s="35"/>
      <c r="L43" s="35"/>
      <c r="M43" s="35"/>
      <c r="N43" s="35"/>
      <c r="O43" s="35"/>
    </row>
    <row r="44" spans="1:18">
      <c r="A44" s="19" t="s">
        <v>74</v>
      </c>
      <c r="B44" s="28">
        <v>53.728999999999999</v>
      </c>
      <c r="C44" s="28">
        <v>65.828999999999994</v>
      </c>
      <c r="D44" s="28">
        <v>68.099999999999994</v>
      </c>
      <c r="E44" s="28">
        <v>65.513999999999996</v>
      </c>
      <c r="F44" s="28">
        <v>57.128999999999998</v>
      </c>
      <c r="G44" s="28">
        <f>5+20</f>
        <v>25</v>
      </c>
      <c r="H44" s="28">
        <v>23.745000000000005</v>
      </c>
      <c r="I44" s="28">
        <v>21.963999999999999</v>
      </c>
      <c r="J44" s="28">
        <v>19.8</v>
      </c>
      <c r="K44" s="28">
        <v>30.234000000000002</v>
      </c>
      <c r="L44" s="28">
        <v>16.302</v>
      </c>
      <c r="M44" s="28">
        <v>188</v>
      </c>
      <c r="N44" s="28"/>
      <c r="O44" s="28"/>
      <c r="P44" s="28"/>
      <c r="Q44" s="28"/>
      <c r="R44" s="57"/>
    </row>
    <row r="46" spans="1:18">
      <c r="A46" s="14" t="s">
        <v>75</v>
      </c>
      <c r="B46" s="58">
        <f t="shared" ref="B46:G46" si="26">SUM(B12:E12)</f>
        <v>346.3</v>
      </c>
      <c r="C46" s="58">
        <f t="shared" si="26"/>
        <v>347.7</v>
      </c>
      <c r="D46" s="58">
        <f t="shared" si="26"/>
        <v>374.7</v>
      </c>
      <c r="E46" s="58">
        <f t="shared" si="26"/>
        <v>421</v>
      </c>
      <c r="F46" s="58">
        <f t="shared" si="26"/>
        <v>472.4</v>
      </c>
      <c r="G46" s="58">
        <f t="shared" si="26"/>
        <v>498.00000000000006</v>
      </c>
      <c r="H46" s="51">
        <v>357.04000000000008</v>
      </c>
      <c r="I46" s="51">
        <v>371.54</v>
      </c>
      <c r="J46" s="51">
        <v>382.65124512241687</v>
      </c>
      <c r="K46" s="33">
        <f t="shared" ref="K46:O46" si="27">SUM(K12:N12)</f>
        <v>402.47240607272289</v>
      </c>
      <c r="L46" s="33">
        <f t="shared" si="27"/>
        <v>401.55866773486986</v>
      </c>
      <c r="M46" s="33">
        <f t="shared" si="27"/>
        <v>393.19871226233448</v>
      </c>
      <c r="N46" s="33">
        <f t="shared" si="27"/>
        <v>378.88595441401134</v>
      </c>
      <c r="O46" s="33">
        <f t="shared" si="27"/>
        <v>358.79171125076647</v>
      </c>
      <c r="P46" s="33"/>
      <c r="Q46" s="33"/>
    </row>
    <row r="47" spans="1:18">
      <c r="A47" s="14" t="s">
        <v>76</v>
      </c>
      <c r="B47" s="58">
        <f t="shared" ref="B47:G47" si="28">B27</f>
        <v>47.749000000000002</v>
      </c>
      <c r="C47" s="58">
        <f t="shared" si="28"/>
        <v>50.893999999999998</v>
      </c>
      <c r="D47" s="58">
        <f t="shared" si="28"/>
        <v>56.9</v>
      </c>
      <c r="E47" s="58">
        <f t="shared" si="28"/>
        <v>64.831000000000003</v>
      </c>
      <c r="F47" s="58">
        <f t="shared" si="28"/>
        <v>73.983999999999995</v>
      </c>
      <c r="G47" s="58">
        <f t="shared" si="28"/>
        <v>76.599999999999994</v>
      </c>
      <c r="H47" s="33">
        <f t="shared" ref="H47:I47" si="29">+H27</f>
        <v>48.14</v>
      </c>
      <c r="I47" s="33">
        <f t="shared" si="29"/>
        <v>48.453000000000003</v>
      </c>
      <c r="J47" s="33">
        <f t="shared" ref="J47:O47" si="30">+J27</f>
        <v>49.180999999999997</v>
      </c>
      <c r="K47" s="33">
        <f t="shared" si="30"/>
        <v>50.650999999999996</v>
      </c>
      <c r="L47" s="33">
        <f t="shared" si="30"/>
        <v>51.691999999999993</v>
      </c>
      <c r="M47" s="33">
        <f t="shared" si="30"/>
        <v>50</v>
      </c>
      <c r="N47" s="33">
        <f t="shared" si="30"/>
        <v>49.24836682494422</v>
      </c>
      <c r="O47" s="33">
        <f t="shared" si="30"/>
        <v>47.4</v>
      </c>
      <c r="P47" s="33"/>
      <c r="Q47" s="33"/>
    </row>
    <row r="48" spans="1:18">
      <c r="A48" s="14" t="s">
        <v>77</v>
      </c>
      <c r="B48" s="33">
        <f t="shared" ref="B48:O48" si="31">+SUM(B37:E37)</f>
        <v>7.9390000000000018</v>
      </c>
      <c r="C48" s="33">
        <f t="shared" si="31"/>
        <v>12.595000000000001</v>
      </c>
      <c r="D48" s="33">
        <f t="shared" si="31"/>
        <v>18.618000000000002</v>
      </c>
      <c r="E48" s="33">
        <f t="shared" si="31"/>
        <v>25.032000000000004</v>
      </c>
      <c r="F48" s="33">
        <f t="shared" si="31"/>
        <v>15.077000000000002</v>
      </c>
      <c r="G48" s="33">
        <f t="shared" si="31"/>
        <v>10.875</v>
      </c>
      <c r="H48" s="33">
        <f t="shared" si="31"/>
        <v>10.792999999999999</v>
      </c>
      <c r="I48" s="33">
        <f t="shared" si="31"/>
        <v>-0.55370225680015794</v>
      </c>
      <c r="J48" s="33">
        <f t="shared" si="31"/>
        <v>8.9834321438754206</v>
      </c>
      <c r="K48" s="33">
        <f t="shared" si="31"/>
        <v>18.86</v>
      </c>
      <c r="L48" s="33">
        <f t="shared" si="31"/>
        <v>12.936240171623147</v>
      </c>
      <c r="M48" s="33">
        <f t="shared" si="31"/>
        <v>22.579546199611151</v>
      </c>
      <c r="N48" s="33">
        <f t="shared" si="31"/>
        <v>14.363568874731984</v>
      </c>
      <c r="O48" s="33">
        <f t="shared" si="31"/>
        <v>7.7154615304910656</v>
      </c>
      <c r="P48" s="33"/>
      <c r="Q48" s="33"/>
    </row>
    <row r="50" spans="1:18" s="37" customFormat="1">
      <c r="A50" s="37" t="s">
        <v>78</v>
      </c>
      <c r="B50" s="37">
        <f t="shared" ref="B50:C50" si="32">+SUM(B39:B40)/B47</f>
        <v>9.1956690192464752</v>
      </c>
      <c r="C50" s="37">
        <f t="shared" si="32"/>
        <v>8.669980744292058</v>
      </c>
      <c r="D50" s="37">
        <f t="shared" ref="D50:E50" si="33">+SUM(D39:D40)/D47</f>
        <v>7.8154657293497367</v>
      </c>
      <c r="E50" s="37">
        <f t="shared" si="33"/>
        <v>6.9010195739692435</v>
      </c>
      <c r="F50" s="37">
        <f t="shared" ref="F50:G50" si="34">+SUM(F39:F40)/F47</f>
        <v>6.0729346885813156</v>
      </c>
      <c r="G50" s="37">
        <f t="shared" si="34"/>
        <v>5.509138381201045</v>
      </c>
      <c r="H50" s="37">
        <f t="shared" ref="H50:M50" si="35">+SUM(H39:H40)/H47</f>
        <v>4.9599501454092225</v>
      </c>
      <c r="I50" s="37">
        <f t="shared" si="35"/>
        <v>5.0089777722741626</v>
      </c>
      <c r="J50" s="37">
        <f t="shared" si="35"/>
        <v>4.9998983347227588</v>
      </c>
      <c r="K50" s="37">
        <f t="shared" si="35"/>
        <v>4.902134212552566</v>
      </c>
      <c r="L50" s="37">
        <f t="shared" si="35"/>
        <v>4.6428847790760663</v>
      </c>
      <c r="M50" s="37">
        <f t="shared" si="35"/>
        <v>4.8</v>
      </c>
    </row>
    <row r="51" spans="1:18" s="37" customFormat="1">
      <c r="A51" s="37" t="s">
        <v>79</v>
      </c>
      <c r="B51" s="37">
        <f t="shared" ref="B51:C51" si="36">+B41/B47</f>
        <v>9.1956690192464752</v>
      </c>
      <c r="C51" s="37">
        <f t="shared" si="36"/>
        <v>8.669980744292058</v>
      </c>
      <c r="D51" s="37">
        <f t="shared" ref="D51:E51" si="37">+D41/D47</f>
        <v>7.8154657293497367</v>
      </c>
      <c r="E51" s="37">
        <f t="shared" si="37"/>
        <v>6.9010195739692435</v>
      </c>
      <c r="F51" s="37">
        <f t="shared" ref="F51:G51" si="38">+F41/F47</f>
        <v>6.0729346885813156</v>
      </c>
      <c r="G51" s="37">
        <f t="shared" si="38"/>
        <v>5.509138381201045</v>
      </c>
      <c r="H51" s="37">
        <f t="shared" ref="H51:M51" si="39">+H41/H47</f>
        <v>4.9599501454092225</v>
      </c>
      <c r="I51" s="37">
        <f t="shared" si="39"/>
        <v>5.0089777722741626</v>
      </c>
      <c r="J51" s="37">
        <f t="shared" si="39"/>
        <v>4.9998983347227588</v>
      </c>
      <c r="K51" s="37">
        <f t="shared" si="39"/>
        <v>4.902134212552566</v>
      </c>
      <c r="L51" s="37">
        <f t="shared" si="39"/>
        <v>4.6428847790760663</v>
      </c>
      <c r="M51" s="37">
        <f t="shared" si="39"/>
        <v>4.8</v>
      </c>
    </row>
    <row r="52" spans="1:18" s="37" customFormat="1">
      <c r="A52" s="37" t="s">
        <v>80</v>
      </c>
      <c r="B52" s="37">
        <f t="shared" ref="B52:C52" si="40">+(B41-B44)/B47</f>
        <v>8.0704307943621849</v>
      </c>
      <c r="C52" s="37">
        <f t="shared" si="40"/>
        <v>7.3765276849923369</v>
      </c>
      <c r="D52" s="37">
        <f t="shared" ref="D52:E52" si="41">+(D41-D44)/D47</f>
        <v>6.618629173989456</v>
      </c>
      <c r="E52" s="37">
        <f t="shared" si="41"/>
        <v>5.8904844904443863</v>
      </c>
      <c r="F52" s="37">
        <f t="shared" ref="F52:G52" si="42">+(F41-F44)/F47</f>
        <v>5.300754217128028</v>
      </c>
      <c r="G52" s="37">
        <f t="shared" si="42"/>
        <v>5.1827676240208884</v>
      </c>
      <c r="H52" s="37">
        <f t="shared" ref="H52:M52" si="43">+(H41-H44)/H47</f>
        <v>4.4667012879102614</v>
      </c>
      <c r="I52" s="37">
        <f t="shared" si="43"/>
        <v>4.5556725073782838</v>
      </c>
      <c r="J52" s="37">
        <f t="shared" si="43"/>
        <v>4.5973038368475629</v>
      </c>
      <c r="K52" s="37">
        <f t="shared" si="43"/>
        <v>4.3052259580264955</v>
      </c>
      <c r="L52" s="37">
        <f t="shared" si="43"/>
        <v>4.3275168304573253</v>
      </c>
      <c r="M52" s="37">
        <f t="shared" si="43"/>
        <v>1.04</v>
      </c>
    </row>
    <row r="53" spans="1:18" s="38" customFormat="1">
      <c r="A53" s="38" t="s">
        <v>81</v>
      </c>
      <c r="B53" s="38">
        <f t="shared" ref="B53:C53" si="44">+B48/B41</f>
        <v>1.8080822803837084E-2</v>
      </c>
      <c r="C53" s="38">
        <f t="shared" si="44"/>
        <v>2.8543909348441927E-2</v>
      </c>
      <c r="D53" s="38">
        <f t="shared" ref="D53:E53" si="45">+D48/D41</f>
        <v>4.1866426804587367E-2</v>
      </c>
      <c r="E53" s="38">
        <f t="shared" si="45"/>
        <v>5.5949932945909706E-2</v>
      </c>
      <c r="F53" s="38">
        <f t="shared" ref="F53:G53" si="46">+F48/F41</f>
        <v>3.3556643667927891E-2</v>
      </c>
      <c r="G53" s="38">
        <f t="shared" si="46"/>
        <v>2.5770142180094786E-2</v>
      </c>
      <c r="H53" s="38">
        <f t="shared" ref="H53:M53" si="47">+H48/H41</f>
        <v>4.5202117501214549E-2</v>
      </c>
      <c r="I53" s="38">
        <f t="shared" si="47"/>
        <v>-2.2814266864448203E-3</v>
      </c>
      <c r="J53" s="38">
        <f t="shared" si="47"/>
        <v>3.6532867604210741E-2</v>
      </c>
      <c r="K53" s="38">
        <f t="shared" si="47"/>
        <v>7.5957116046041454E-2</v>
      </c>
      <c r="L53" s="38">
        <f t="shared" si="47"/>
        <v>5.3901000715096445E-2</v>
      </c>
      <c r="M53" s="38">
        <f t="shared" si="47"/>
        <v>9.4081442498379797E-2</v>
      </c>
    </row>
    <row r="54" spans="1:18" s="38" customFormat="1">
      <c r="A54" s="39" t="s">
        <v>82</v>
      </c>
      <c r="B54" s="40"/>
      <c r="C54" s="40"/>
      <c r="D54" s="40"/>
      <c r="E54" s="40"/>
      <c r="F54" s="40"/>
      <c r="G54" s="40"/>
      <c r="H54" s="40"/>
      <c r="I54" s="40"/>
      <c r="J54" s="40"/>
      <c r="K54" s="40"/>
      <c r="L54" s="40"/>
      <c r="M54" s="40"/>
      <c r="N54" s="40"/>
      <c r="O54" s="40"/>
      <c r="P54" s="40"/>
      <c r="Q54" s="40"/>
      <c r="R54" s="39"/>
    </row>
    <row r="55" spans="1:18" s="38" customFormat="1">
      <c r="A55" s="38" t="s">
        <v>83</v>
      </c>
      <c r="B55" s="41">
        <f t="shared" ref="B55:C55" si="48">IF(B42=0,IF(B54="","","*"&amp;TEXT(B54,"0.0x")),(B41+B42-B44)/B47)</f>
        <v>11.347672202559213</v>
      </c>
      <c r="C55" s="41">
        <f t="shared" si="48"/>
        <v>10.492513852320512</v>
      </c>
      <c r="D55" s="41">
        <f t="shared" ref="D55:E55" si="49">IF(D42=0,IF(D54="","","*"&amp;TEXT(D54,"0.0x")),(D41+D42-D44)/D47)</f>
        <v>10.666080843585236</v>
      </c>
      <c r="E55" s="41">
        <f t="shared" si="49"/>
        <v>9.4659345066403411</v>
      </c>
      <c r="F55" s="41">
        <f t="shared" ref="F55:G55" si="50">IF(F42=0,IF(F54="","","*"&amp;TEXT(F54,"0.0x")),(F41+F42-F44)/F47)</f>
        <v>8.5771383001730115</v>
      </c>
      <c r="G55" s="41">
        <f t="shared" si="50"/>
        <v>8.7467362924281993</v>
      </c>
      <c r="H55" s="41">
        <f t="shared" ref="H55:I55" si="51">IF(H42=0,IF(H54="","","*"&amp;TEXT(H54,"0.0x")),(H41+H42-H44)/H47)</f>
        <v>8.0770045700041546</v>
      </c>
      <c r="I55" s="41">
        <f t="shared" si="51"/>
        <v>8.2107609435948241</v>
      </c>
      <c r="J55" s="41">
        <f t="shared" ref="J55:O55" si="52">IF(J42=0,IF(J54="","","*"&amp;TEXT(J54,"0.0x")),(J41+J42-J44)/J47)</f>
        <v>8.1982879567312583</v>
      </c>
      <c r="K55" s="41">
        <f t="shared" si="52"/>
        <v>7.8076247260666136</v>
      </c>
      <c r="L55" s="41" t="str">
        <f t="shared" si="52"/>
        <v/>
      </c>
      <c r="M55" s="41" t="str">
        <f t="shared" si="52"/>
        <v/>
      </c>
      <c r="N55" s="41" t="str">
        <f t="shared" si="52"/>
        <v/>
      </c>
      <c r="O55" s="41" t="str">
        <f t="shared" si="52"/>
        <v/>
      </c>
      <c r="P55" s="41"/>
      <c r="Q55" s="41"/>
      <c r="R55" s="41" t="str">
        <f>IF(R42=0,IF(R54="","",CONCATENATE("* ",R54,"x")),(R41+R42-R44)/R47)</f>
        <v/>
      </c>
    </row>
    <row r="56" spans="1:18">
      <c r="Q56" s="42"/>
    </row>
    <row r="57" spans="1:18" ht="96.6">
      <c r="A57" s="43" t="s">
        <v>84</v>
      </c>
      <c r="B57" s="44" t="s">
        <v>289</v>
      </c>
      <c r="C57" s="44" t="s">
        <v>289</v>
      </c>
      <c r="D57" s="44" t="s">
        <v>289</v>
      </c>
      <c r="E57" s="44" t="s">
        <v>289</v>
      </c>
      <c r="F57" s="44" t="s">
        <v>423</v>
      </c>
      <c r="G57" s="44" t="s">
        <v>547</v>
      </c>
      <c r="H57" s="44" t="s">
        <v>423</v>
      </c>
      <c r="I57" s="44" t="s">
        <v>423</v>
      </c>
      <c r="J57" s="44" t="s">
        <v>289</v>
      </c>
      <c r="K57" s="44" t="s">
        <v>430</v>
      </c>
      <c r="L57" s="44" t="s">
        <v>429</v>
      </c>
      <c r="M57" s="44" t="s">
        <v>90</v>
      </c>
      <c r="N57" s="44"/>
      <c r="O57" s="44"/>
      <c r="P57" s="44"/>
      <c r="Q57" s="44"/>
      <c r="R57" s="44"/>
    </row>
    <row r="58" spans="1:18">
      <c r="A58" s="45"/>
      <c r="B58" s="42"/>
      <c r="C58" s="42"/>
      <c r="D58" s="42"/>
      <c r="E58" s="42"/>
      <c r="F58" s="42"/>
      <c r="G58" s="42"/>
      <c r="H58" s="42"/>
      <c r="I58" s="42"/>
      <c r="J58" s="42"/>
      <c r="K58" s="42"/>
      <c r="L58" s="42"/>
      <c r="M58" s="42"/>
    </row>
    <row r="59" spans="1:18">
      <c r="A59" s="45"/>
    </row>
  </sheetData>
  <pageMargins left="0.7" right="0.7" top="0.75" bottom="0.75" header="0.3" footer="0.3"/>
  <pageSetup orientation="portrait" r:id="rId1"/>
  <ignoredErrors>
    <ignoredError sqref="O46:P48 M46:N48 H49:N54 H47:L48 K46:L46 E46:G46" formulaRange="1"/>
  </ignoredErrors>
  <legacyDrawing r:id="rId2"/>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2:T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20" width="10.6640625" style="14" customWidth="1"/>
    <col min="21" max="16384" width="9.109375" style="14"/>
  </cols>
  <sheetData>
    <row r="2" spans="1:20">
      <c r="A2" s="13" t="s">
        <v>44</v>
      </c>
      <c r="B2" s="14" t="s">
        <v>283</v>
      </c>
    </row>
    <row r="3" spans="1:20" s="16" customFormat="1">
      <c r="A3" s="15" t="s">
        <v>45</v>
      </c>
      <c r="B3" s="16" t="s">
        <v>282</v>
      </c>
    </row>
    <row r="4" spans="1:20">
      <c r="A4" s="13" t="s">
        <v>2</v>
      </c>
      <c r="B4" s="14" t="s">
        <v>4</v>
      </c>
    </row>
    <row r="5" spans="1:20">
      <c r="A5" s="13" t="s">
        <v>46</v>
      </c>
    </row>
    <row r="6" spans="1:20">
      <c r="A6" s="13" t="s">
        <v>47</v>
      </c>
    </row>
    <row r="7" spans="1:20">
      <c r="A7" s="13" t="s">
        <v>48</v>
      </c>
      <c r="B7" s="14" t="s">
        <v>452</v>
      </c>
    </row>
    <row r="8" spans="1:20">
      <c r="A8" s="13" t="s">
        <v>347</v>
      </c>
      <c r="B8" s="14" t="s">
        <v>361</v>
      </c>
    </row>
    <row r="9" spans="1:20">
      <c r="A9" s="17"/>
    </row>
    <row r="10" spans="1:20">
      <c r="A10" s="17" t="s">
        <v>49</v>
      </c>
      <c r="B10" s="18">
        <v>44286</v>
      </c>
      <c r="C10" s="18">
        <v>44196</v>
      </c>
      <c r="D10" s="18">
        <v>44104</v>
      </c>
      <c r="E10" s="18">
        <v>44012</v>
      </c>
      <c r="F10" s="18">
        <v>43921</v>
      </c>
      <c r="G10" s="18">
        <v>43830</v>
      </c>
      <c r="H10" s="18">
        <v>43738</v>
      </c>
      <c r="I10" s="18">
        <v>43646</v>
      </c>
      <c r="J10" s="18">
        <v>43555</v>
      </c>
      <c r="K10" s="18">
        <v>43465</v>
      </c>
      <c r="L10" s="18">
        <v>43373</v>
      </c>
      <c r="M10" s="18">
        <v>43281</v>
      </c>
      <c r="N10" s="18">
        <f>EOMONTH(M10,-3)</f>
        <v>43190</v>
      </c>
      <c r="O10" s="18">
        <f t="shared" ref="O10:T10" si="0">EOMONTH(N10,-3)</f>
        <v>43100</v>
      </c>
      <c r="P10" s="18">
        <f t="shared" si="0"/>
        <v>43008</v>
      </c>
      <c r="Q10" s="18">
        <f t="shared" si="0"/>
        <v>42916</v>
      </c>
      <c r="R10" s="18">
        <f t="shared" si="0"/>
        <v>42825</v>
      </c>
      <c r="S10" s="18">
        <f t="shared" si="0"/>
        <v>42735</v>
      </c>
      <c r="T10" s="18">
        <f t="shared" si="0"/>
        <v>42643</v>
      </c>
    </row>
    <row r="12" spans="1:20">
      <c r="A12" s="19" t="s">
        <v>50</v>
      </c>
      <c r="B12" s="20">
        <v>271.89999999999998</v>
      </c>
      <c r="C12" s="20">
        <v>381.2</v>
      </c>
      <c r="D12" s="20">
        <v>270.2</v>
      </c>
      <c r="E12" s="20">
        <v>283.7</v>
      </c>
      <c r="F12" s="20">
        <v>225.5</v>
      </c>
      <c r="G12" s="20">
        <f>1283.4-H12-I12-J12</f>
        <v>377.70000000000005</v>
      </c>
      <c r="H12" s="20">
        <v>290</v>
      </c>
      <c r="I12" s="20">
        <v>299.2</v>
      </c>
      <c r="J12" s="20">
        <v>316.5</v>
      </c>
      <c r="K12" s="20">
        <f>996.2+265.9-L12-M12-N12</f>
        <v>404.21899999999994</v>
      </c>
      <c r="L12" s="20">
        <v>287</v>
      </c>
      <c r="M12" s="20">
        <v>305</v>
      </c>
      <c r="N12" s="20">
        <v>265.88099999999997</v>
      </c>
      <c r="O12" s="20">
        <v>417.72899999999981</v>
      </c>
      <c r="P12" s="20">
        <v>279.50200000000001</v>
      </c>
      <c r="Q12" s="20">
        <v>330.01400000000001</v>
      </c>
      <c r="R12" s="20">
        <v>276.58600000000001</v>
      </c>
      <c r="S12" s="20"/>
      <c r="T12" s="20"/>
    </row>
    <row r="13" spans="1:20" s="21" customFormat="1">
      <c r="A13" s="21" t="s">
        <v>51</v>
      </c>
      <c r="B13" s="21">
        <f t="shared" ref="B13:N13" si="1">+B12/F12-1</f>
        <v>0.20576496674057632</v>
      </c>
      <c r="C13" s="21">
        <f t="shared" si="1"/>
        <v>9.2666137145882566E-3</v>
      </c>
      <c r="D13" s="21">
        <f t="shared" si="1"/>
        <v>-6.827586206896552E-2</v>
      </c>
      <c r="E13" s="21">
        <f t="shared" si="1"/>
        <v>-5.1804812834224556E-2</v>
      </c>
      <c r="F13" s="21">
        <f t="shared" si="1"/>
        <v>-0.28751974723538709</v>
      </c>
      <c r="G13" s="21">
        <f t="shared" si="1"/>
        <v>-6.5605525717494451E-2</v>
      </c>
      <c r="H13" s="21">
        <f t="shared" si="1"/>
        <v>1.0452961672473782E-2</v>
      </c>
      <c r="I13" s="21">
        <f t="shared" si="1"/>
        <v>-1.9016393442622959E-2</v>
      </c>
      <c r="J13" s="21">
        <f t="shared" si="1"/>
        <v>0.19038216344906189</v>
      </c>
      <c r="K13" s="21">
        <f t="shared" si="1"/>
        <v>-3.2341542004505008E-2</v>
      </c>
      <c r="L13" s="21">
        <f t="shared" si="1"/>
        <v>2.6826283890634128E-2</v>
      </c>
      <c r="M13" s="21">
        <f t="shared" si="1"/>
        <v>-7.5796784378844517E-2</v>
      </c>
      <c r="N13" s="21">
        <f t="shared" si="1"/>
        <v>-3.8704055881353505E-2</v>
      </c>
    </row>
    <row r="14" spans="1:20"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c r="P14" s="23"/>
      <c r="Q14" s="22"/>
      <c r="R14" s="22"/>
      <c r="S14" s="22"/>
      <c r="T14" s="22"/>
    </row>
    <row r="16" spans="1:20" s="17" customFormat="1">
      <c r="A16" s="25" t="s">
        <v>53</v>
      </c>
      <c r="B16" s="26">
        <v>65.7</v>
      </c>
      <c r="C16" s="26">
        <v>137.19999999999999</v>
      </c>
      <c r="D16" s="26">
        <v>86.6</v>
      </c>
      <c r="E16" s="26">
        <v>93.9</v>
      </c>
      <c r="F16" s="26">
        <v>56.8</v>
      </c>
      <c r="G16" s="26">
        <f>390.3-H16-I16-J16</f>
        <v>126.59999999999997</v>
      </c>
      <c r="H16" s="26">
        <v>86.9</v>
      </c>
      <c r="I16" s="26">
        <v>88.3</v>
      </c>
      <c r="J16" s="26">
        <v>88.5</v>
      </c>
      <c r="K16" s="26">
        <f>344.8-L16-M16-N16</f>
        <v>132.20000000000002</v>
      </c>
      <c r="L16" s="26">
        <v>76.5</v>
      </c>
      <c r="M16" s="26">
        <v>70.7</v>
      </c>
      <c r="N16" s="26">
        <v>65.400000000000006</v>
      </c>
      <c r="O16" s="26">
        <v>126.3</v>
      </c>
      <c r="P16" s="26">
        <v>68.8</v>
      </c>
      <c r="Q16" s="26">
        <v>92.7</v>
      </c>
      <c r="R16" s="26">
        <v>72.400000000000006</v>
      </c>
      <c r="S16" s="26"/>
      <c r="T16" s="26"/>
    </row>
    <row r="17" spans="1:20" s="21" customFormat="1">
      <c r="A17" s="21" t="s">
        <v>54</v>
      </c>
      <c r="B17" s="21">
        <f t="shared" ref="B17:C17" si="2">+B16/B12</f>
        <v>0.24163295329165138</v>
      </c>
      <c r="C17" s="21">
        <f t="shared" si="2"/>
        <v>0.35991605456453302</v>
      </c>
      <c r="D17" s="21">
        <f t="shared" ref="D17:E17" si="3">+D16/D12</f>
        <v>0.32050333086602517</v>
      </c>
      <c r="E17" s="21">
        <f t="shared" si="3"/>
        <v>0.33098343320408885</v>
      </c>
      <c r="F17" s="21">
        <f t="shared" ref="F17:G17" si="4">+F16/F12</f>
        <v>0.25188470066518848</v>
      </c>
      <c r="G17" s="21">
        <f t="shared" si="4"/>
        <v>0.33518665607625087</v>
      </c>
      <c r="H17" s="21">
        <f t="shared" ref="H17:M17" si="5">+H16/H12</f>
        <v>0.29965517241379314</v>
      </c>
      <c r="I17" s="21">
        <f t="shared" si="5"/>
        <v>0.29512032085561496</v>
      </c>
      <c r="J17" s="21">
        <f t="shared" si="5"/>
        <v>0.27962085308056872</v>
      </c>
      <c r="K17" s="21">
        <f t="shared" si="5"/>
        <v>0.32705043553123442</v>
      </c>
      <c r="L17" s="21">
        <f t="shared" si="5"/>
        <v>0.2665505226480836</v>
      </c>
      <c r="M17" s="21">
        <f t="shared" si="5"/>
        <v>0.2318032786885246</v>
      </c>
      <c r="N17" s="21">
        <f t="shared" ref="N17:R17" si="6">+N16/N12</f>
        <v>0.24597470296862134</v>
      </c>
      <c r="O17" s="21">
        <f t="shared" si="6"/>
        <v>0.30234913065647839</v>
      </c>
      <c r="P17" s="21">
        <f t="shared" si="6"/>
        <v>0.24615208477935754</v>
      </c>
      <c r="Q17" s="21">
        <f t="shared" si="6"/>
        <v>0.28089717405928233</v>
      </c>
      <c r="R17" s="21">
        <f t="shared" si="6"/>
        <v>0.26176306826809748</v>
      </c>
    </row>
    <row r="18" spans="1:20" s="24" customFormat="1"/>
    <row r="19" spans="1:20"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c r="T19" s="20"/>
    </row>
    <row r="20" spans="1:20"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c r="T20" s="20"/>
    </row>
    <row r="21" spans="1:20"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c r="T21" s="20"/>
    </row>
    <row r="22" spans="1:20" s="17" customFormat="1">
      <c r="A22" s="17" t="s">
        <v>58</v>
      </c>
      <c r="B22" s="27">
        <f t="shared" ref="B22" si="7">SUM(B16,B19:B21)</f>
        <v>65.7</v>
      </c>
      <c r="C22" s="27">
        <f t="shared" ref="C22:D22" si="8">SUM(C16,C19:C21)</f>
        <v>137.19999999999999</v>
      </c>
      <c r="D22" s="27">
        <f t="shared" si="8"/>
        <v>86.6</v>
      </c>
      <c r="E22" s="27">
        <f t="shared" ref="E22" si="9">SUM(E16,E19:E21)</f>
        <v>93.9</v>
      </c>
      <c r="F22" s="27">
        <f t="shared" ref="F22:G22" si="10">SUM(F16,F19:F21)</f>
        <v>56.8</v>
      </c>
      <c r="G22" s="27">
        <f t="shared" si="10"/>
        <v>126.59999999999997</v>
      </c>
      <c r="H22" s="27">
        <f t="shared" ref="H22:M22" si="11">SUM(H16,H19:H21)</f>
        <v>86.9</v>
      </c>
      <c r="I22" s="27">
        <f>SUM(I16,I19:I21)</f>
        <v>88.3</v>
      </c>
      <c r="J22" s="27">
        <f t="shared" si="11"/>
        <v>88.5</v>
      </c>
      <c r="K22" s="27">
        <f t="shared" si="11"/>
        <v>132.20000000000002</v>
      </c>
      <c r="L22" s="27">
        <f t="shared" si="11"/>
        <v>76.5</v>
      </c>
      <c r="M22" s="27">
        <f t="shared" si="11"/>
        <v>70.7</v>
      </c>
      <c r="N22" s="27">
        <f t="shared" ref="N22:R22" si="12">SUM(N16,N19:N21)</f>
        <v>65.400000000000006</v>
      </c>
      <c r="O22" s="27">
        <f t="shared" si="12"/>
        <v>126.3</v>
      </c>
      <c r="P22" s="27">
        <f t="shared" si="12"/>
        <v>68.8</v>
      </c>
      <c r="Q22" s="27">
        <f t="shared" si="12"/>
        <v>92.7</v>
      </c>
      <c r="R22" s="27">
        <f t="shared" si="12"/>
        <v>72.400000000000006</v>
      </c>
      <c r="S22" s="27"/>
      <c r="T22" s="27"/>
    </row>
    <row r="23" spans="1:20" s="17" customFormat="1">
      <c r="B23" s="27"/>
      <c r="C23" s="27"/>
      <c r="D23" s="27"/>
      <c r="E23" s="27"/>
      <c r="F23" s="27"/>
      <c r="G23" s="27"/>
      <c r="H23" s="27"/>
      <c r="I23" s="27"/>
      <c r="J23" s="27"/>
      <c r="K23" s="27"/>
      <c r="L23" s="27"/>
      <c r="M23" s="27"/>
      <c r="N23" s="27"/>
      <c r="O23" s="27"/>
      <c r="P23" s="27"/>
      <c r="Q23" s="27"/>
      <c r="R23" s="27"/>
      <c r="S23" s="27"/>
      <c r="T23" s="27"/>
    </row>
    <row r="24" spans="1:20" s="17" customFormat="1">
      <c r="A24" s="17" t="s">
        <v>59</v>
      </c>
      <c r="B24" s="27">
        <f t="shared" ref="B24:O24" si="13">SUM(B22:E22)</f>
        <v>383.4</v>
      </c>
      <c r="C24" s="27">
        <f t="shared" si="13"/>
        <v>374.5</v>
      </c>
      <c r="D24" s="27">
        <f t="shared" si="13"/>
        <v>363.9</v>
      </c>
      <c r="E24" s="27">
        <f t="shared" si="13"/>
        <v>364.19999999999993</v>
      </c>
      <c r="F24" s="27">
        <f t="shared" si="13"/>
        <v>358.59999999999997</v>
      </c>
      <c r="G24" s="27">
        <f t="shared" si="13"/>
        <v>390.29999999999995</v>
      </c>
      <c r="H24" s="27">
        <f t="shared" si="13"/>
        <v>395.9</v>
      </c>
      <c r="I24" s="27">
        <f t="shared" si="13"/>
        <v>385.5</v>
      </c>
      <c r="J24" s="27">
        <f t="shared" si="13"/>
        <v>367.90000000000003</v>
      </c>
      <c r="K24" s="27">
        <f t="shared" si="13"/>
        <v>344.80000000000007</v>
      </c>
      <c r="L24" s="27">
        <f t="shared" si="13"/>
        <v>338.9</v>
      </c>
      <c r="M24" s="27">
        <f t="shared" si="13"/>
        <v>331.20000000000005</v>
      </c>
      <c r="N24" s="27">
        <f t="shared" si="13"/>
        <v>353.2</v>
      </c>
      <c r="O24" s="27">
        <f t="shared" si="13"/>
        <v>360.20000000000005</v>
      </c>
      <c r="P24" s="27"/>
      <c r="Q24" s="27"/>
      <c r="R24" s="27"/>
      <c r="S24" s="27"/>
      <c r="T24" s="27"/>
    </row>
    <row r="25" spans="1:20" s="24" customFormat="1">
      <c r="A25" s="19" t="s">
        <v>60</v>
      </c>
      <c r="B25" s="28">
        <f>403.1-B24</f>
        <v>19.700000000000045</v>
      </c>
      <c r="C25" s="28">
        <f>403.2-C24</f>
        <v>28.699999999999989</v>
      </c>
      <c r="D25" s="28">
        <f>404.3-D24</f>
        <v>40.400000000000034</v>
      </c>
      <c r="E25" s="28">
        <f>413.7-E24</f>
        <v>49.500000000000057</v>
      </c>
      <c r="F25" s="28">
        <f>419.9-F24</f>
        <v>61.300000000000011</v>
      </c>
      <c r="G25" s="28">
        <f>435.3-G24</f>
        <v>45.000000000000057</v>
      </c>
      <c r="H25" s="28">
        <f>422.2-H24</f>
        <v>26.300000000000011</v>
      </c>
      <c r="I25" s="28">
        <f>405.7-I24</f>
        <v>20.199999999999989</v>
      </c>
      <c r="J25" s="28">
        <f>388.4-J24</f>
        <v>20.499999999999943</v>
      </c>
      <c r="K25" s="28">
        <v>0</v>
      </c>
      <c r="L25" s="28">
        <v>0</v>
      </c>
      <c r="M25" s="28">
        <v>0</v>
      </c>
      <c r="N25" s="28">
        <v>0</v>
      </c>
      <c r="O25" s="28">
        <v>0</v>
      </c>
      <c r="P25" s="28"/>
      <c r="Q25" s="28"/>
      <c r="R25" s="28"/>
      <c r="S25" s="28"/>
      <c r="T25" s="28"/>
    </row>
    <row r="26" spans="1:20" s="24" customFormat="1">
      <c r="A26" s="19" t="s">
        <v>61</v>
      </c>
      <c r="B26" s="29">
        <v>0</v>
      </c>
      <c r="C26" s="29">
        <v>0</v>
      </c>
      <c r="D26" s="29">
        <v>0</v>
      </c>
      <c r="E26" s="29">
        <v>0</v>
      </c>
      <c r="F26" s="29">
        <v>0</v>
      </c>
      <c r="G26" s="29">
        <v>0</v>
      </c>
      <c r="H26" s="29">
        <v>0</v>
      </c>
      <c r="I26" s="29">
        <v>0</v>
      </c>
      <c r="J26" s="29">
        <v>0</v>
      </c>
      <c r="K26" s="29">
        <v>0</v>
      </c>
      <c r="L26" s="29">
        <v>0</v>
      </c>
      <c r="M26" s="29">
        <v>0</v>
      </c>
      <c r="N26" s="29">
        <v>0</v>
      </c>
      <c r="O26" s="29">
        <v>0</v>
      </c>
      <c r="P26" s="29"/>
      <c r="Q26" s="29"/>
      <c r="R26" s="30"/>
      <c r="S26" s="30"/>
      <c r="T26" s="30"/>
    </row>
    <row r="27" spans="1:20" s="32" customFormat="1">
      <c r="A27" s="17" t="s">
        <v>62</v>
      </c>
      <c r="B27" s="27">
        <f t="shared" ref="B27:C27" si="14">SUM(B24:B26)</f>
        <v>403.1</v>
      </c>
      <c r="C27" s="27">
        <f t="shared" si="14"/>
        <v>403.2</v>
      </c>
      <c r="D27" s="27">
        <f t="shared" ref="D27:F27" si="15">SUM(D24:D26)</f>
        <v>404.3</v>
      </c>
      <c r="E27" s="27">
        <f t="shared" si="15"/>
        <v>413.7</v>
      </c>
      <c r="F27" s="27">
        <f t="shared" si="15"/>
        <v>419.9</v>
      </c>
      <c r="G27" s="27">
        <f t="shared" ref="G27:H27" si="16">SUM(G24:G26)</f>
        <v>435.3</v>
      </c>
      <c r="H27" s="27">
        <f t="shared" si="16"/>
        <v>422.2</v>
      </c>
      <c r="I27" s="27">
        <f t="shared" ref="I27:O27" si="17">SUM(I24:I26)</f>
        <v>405.7</v>
      </c>
      <c r="J27" s="27">
        <f t="shared" si="17"/>
        <v>388.4</v>
      </c>
      <c r="K27" s="27">
        <f t="shared" si="17"/>
        <v>344.80000000000007</v>
      </c>
      <c r="L27" s="27">
        <f t="shared" si="17"/>
        <v>338.9</v>
      </c>
      <c r="M27" s="27">
        <f t="shared" si="17"/>
        <v>331.20000000000005</v>
      </c>
      <c r="N27" s="27">
        <f t="shared" si="17"/>
        <v>353.2</v>
      </c>
      <c r="O27" s="27">
        <f t="shared" si="17"/>
        <v>360.20000000000005</v>
      </c>
      <c r="P27" s="27"/>
      <c r="Q27" s="27"/>
      <c r="R27" s="31"/>
      <c r="S27" s="31"/>
      <c r="T27" s="31"/>
    </row>
    <row r="28" spans="1:20" s="24" customFormat="1"/>
    <row r="29" spans="1:20" s="17" customFormat="1">
      <c r="A29" s="17" t="s">
        <v>58</v>
      </c>
      <c r="B29" s="27">
        <f t="shared" ref="B29:C29" si="18">B22</f>
        <v>65.7</v>
      </c>
      <c r="C29" s="27">
        <f t="shared" si="18"/>
        <v>137.19999999999999</v>
      </c>
      <c r="D29" s="27">
        <f t="shared" ref="D29:F29" si="19">D22</f>
        <v>86.6</v>
      </c>
      <c r="E29" s="27">
        <f t="shared" si="19"/>
        <v>93.9</v>
      </c>
      <c r="F29" s="27">
        <f t="shared" si="19"/>
        <v>56.8</v>
      </c>
      <c r="G29" s="27">
        <f t="shared" ref="G29:H29" si="20">G22</f>
        <v>126.59999999999997</v>
      </c>
      <c r="H29" s="27">
        <f t="shared" si="20"/>
        <v>86.9</v>
      </c>
      <c r="I29" s="27">
        <f t="shared" ref="I29:K29" si="21">I22</f>
        <v>88.3</v>
      </c>
      <c r="J29" s="27">
        <f t="shared" si="21"/>
        <v>88.5</v>
      </c>
      <c r="K29" s="27">
        <f t="shared" si="21"/>
        <v>132.20000000000002</v>
      </c>
      <c r="L29" s="27">
        <f t="shared" ref="L29:R29" si="22">L22</f>
        <v>76.5</v>
      </c>
      <c r="M29" s="27">
        <f t="shared" si="22"/>
        <v>70.7</v>
      </c>
      <c r="N29" s="27">
        <f t="shared" si="22"/>
        <v>65.400000000000006</v>
      </c>
      <c r="O29" s="27">
        <f t="shared" si="22"/>
        <v>126.3</v>
      </c>
      <c r="P29" s="27">
        <f t="shared" si="22"/>
        <v>68.8</v>
      </c>
      <c r="Q29" s="27">
        <f t="shared" si="22"/>
        <v>92.7</v>
      </c>
      <c r="R29" s="27">
        <f t="shared" si="22"/>
        <v>72.400000000000006</v>
      </c>
      <c r="S29" s="27"/>
      <c r="T29" s="27"/>
    </row>
    <row r="30" spans="1:20" s="33" customFormat="1">
      <c r="A30" s="20" t="s">
        <v>63</v>
      </c>
      <c r="B30" s="20">
        <v>-44.2</v>
      </c>
      <c r="C30" s="20">
        <f>-161.5-D30-E30-F30</f>
        <v>-42</v>
      </c>
      <c r="D30" s="20">
        <f>-119.5-E30-F30</f>
        <v>-44.900000000000006</v>
      </c>
      <c r="E30" s="20">
        <f>-74.6-F30</f>
        <v>-49.899999999999991</v>
      </c>
      <c r="F30" s="20">
        <v>-24.7</v>
      </c>
      <c r="G30" s="20">
        <f>-161.1-H30-I30-J30</f>
        <v>-50.000000000000007</v>
      </c>
      <c r="H30" s="20">
        <f>-111.1-I30-J30</f>
        <v>-28.199999999999989</v>
      </c>
      <c r="I30" s="20">
        <f>-82.9-J30</f>
        <v>-54.000000000000007</v>
      </c>
      <c r="J30" s="20">
        <v>-28.9</v>
      </c>
      <c r="K30" s="20">
        <f>-113.2-10-L30-M30-N30</f>
        <v>-40.400000000000006</v>
      </c>
      <c r="L30" s="20">
        <f>-88.3+5.5-M30-N30</f>
        <v>-41.3</v>
      </c>
      <c r="M30" s="20">
        <f>-44.8+3.3-N30</f>
        <v>-26.7</v>
      </c>
      <c r="N30" s="20">
        <f>-15.8+1</f>
        <v>-14.8</v>
      </c>
      <c r="O30" s="20">
        <v>-14.861499999999999</v>
      </c>
      <c r="P30" s="20">
        <v>-14.861499999999999</v>
      </c>
      <c r="Q30" s="20">
        <v>-14.571</v>
      </c>
      <c r="R30" s="20">
        <v>-14.987</v>
      </c>
      <c r="S30" s="20"/>
      <c r="T30" s="20"/>
    </row>
    <row r="31" spans="1:20" s="33" customFormat="1">
      <c r="A31" s="20" t="s">
        <v>64</v>
      </c>
      <c r="B31" s="20">
        <v>-1.4</v>
      </c>
      <c r="C31" s="20">
        <f>-9.3-D31-E31-F31</f>
        <v>0</v>
      </c>
      <c r="D31" s="20">
        <f>-9.3-E31-F31</f>
        <v>-7.2000000000000011</v>
      </c>
      <c r="E31" s="20">
        <f>-2.1-F31</f>
        <v>-1</v>
      </c>
      <c r="F31" s="20">
        <v>-1.1000000000000001</v>
      </c>
      <c r="G31" s="20">
        <f>-16.2-H31-I31-J31</f>
        <v>-2.899999999999999</v>
      </c>
      <c r="H31" s="20">
        <f>-13.3-I31-J31</f>
        <v>-6</v>
      </c>
      <c r="I31" s="20">
        <f>-7.3-J31</f>
        <v>-4.9000000000000004</v>
      </c>
      <c r="J31" s="20">
        <v>-2.4</v>
      </c>
      <c r="K31" s="20">
        <f>-23.5-17.3-L31-M31-N31</f>
        <v>9.6000000000000014</v>
      </c>
      <c r="L31" s="20">
        <f>6.2-56.6-M31-N31</f>
        <v>-37.9</v>
      </c>
      <c r="M31" s="20">
        <f>2.4-14.9-N31</f>
        <v>-4.9000000000000004</v>
      </c>
      <c r="N31" s="20">
        <f>5.5-13.1</f>
        <v>-7.6</v>
      </c>
      <c r="O31" s="20">
        <v>-4.0015000000000001</v>
      </c>
      <c r="P31" s="20">
        <v>-4.0015000000000001</v>
      </c>
      <c r="Q31" s="20">
        <v>-4.8559999999999981</v>
      </c>
      <c r="R31" s="20">
        <v>-11.521000000000001</v>
      </c>
      <c r="S31" s="20"/>
      <c r="T31" s="20"/>
    </row>
    <row r="32" spans="1:20" s="33" customFormat="1">
      <c r="A32" s="20" t="s">
        <v>65</v>
      </c>
      <c r="B32" s="20">
        <v>7.1</v>
      </c>
      <c r="C32" s="20">
        <f>12.5-D32-E32-F32</f>
        <v>-0.60000000000000142</v>
      </c>
      <c r="D32" s="20">
        <f>13.1-E32-F32</f>
        <v>2.4000000000000021</v>
      </c>
      <c r="E32" s="20">
        <f>10.7-F32</f>
        <v>-17.5</v>
      </c>
      <c r="F32" s="20">
        <v>28.2</v>
      </c>
      <c r="G32" s="20">
        <f>-11.3+31.3-1.2+31.7+6.2+2.1-38-H32-I32-J32</f>
        <v>-6.6999999999999957</v>
      </c>
      <c r="H32" s="20">
        <f>27.5-I32-J32</f>
        <v>35.6</v>
      </c>
      <c r="I32" s="20">
        <f>13.1+1.6+0.3-8.5-0.6-5.2-8.8-J32</f>
        <v>-4.2000000000000028</v>
      </c>
      <c r="J32" s="20">
        <f>-10.8+7-1+16.1+1-0.5-15.7</f>
        <v>-3.8999999999999986</v>
      </c>
      <c r="K32" s="20">
        <f>-26.7+112.9+5.2+27.2-32.2+0.2-18.1-2.8+43.5-25.4-5.9+30.7-36.2-0.5-11.8+18-L32-M32-N32</f>
        <v>11.600000000000005</v>
      </c>
      <c r="L32" s="20">
        <f>12.7+74.5+0.2+16.2-32.2-0.5-21.6+17.2-M32-N32</f>
        <v>96.5</v>
      </c>
      <c r="M32" s="20">
        <f>3.7+4.3+4-6-32.2-0.3-11.1+7.6-N32</f>
        <v>-42.399999999999991</v>
      </c>
      <c r="N32" s="20">
        <f>43.5-25.4-5.9+30.7-36.2-0.5-11.8+18</f>
        <v>12.399999999999995</v>
      </c>
      <c r="O32" s="20">
        <v>31.499000000000002</v>
      </c>
      <c r="P32" s="20">
        <v>-2.7469999999999999</v>
      </c>
      <c r="Q32" s="20">
        <v>-21.465000000000003</v>
      </c>
      <c r="R32" s="20">
        <v>-9.5009999999999994</v>
      </c>
      <c r="S32" s="20"/>
      <c r="T32" s="20"/>
    </row>
    <row r="33" spans="1:20"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c r="T33" s="20"/>
    </row>
    <row r="34" spans="1:20"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c r="T34" s="29"/>
    </row>
    <row r="35" spans="1:20" s="27" customFormat="1">
      <c r="A35" s="27" t="s">
        <v>67</v>
      </c>
      <c r="B35" s="27">
        <v>14.1</v>
      </c>
      <c r="C35" s="27">
        <f>122-D35-E35-F35</f>
        <v>57.70000000000001</v>
      </c>
      <c r="D35" s="27">
        <f>64.3-E35-F35</f>
        <v>34.699999999999996</v>
      </c>
      <c r="E35" s="27">
        <f>29.6-F35</f>
        <v>11.5</v>
      </c>
      <c r="F35" s="27">
        <v>18.100000000000001</v>
      </c>
      <c r="G35" s="27">
        <f>136.2-H35-I35-J35</f>
        <v>42.699999999999974</v>
      </c>
      <c r="H35" s="27">
        <f>93.5-I35-J35</f>
        <v>58.600000000000009</v>
      </c>
      <c r="I35" s="27">
        <f>34.9-J35</f>
        <v>-10.300000000000004</v>
      </c>
      <c r="J35" s="27">
        <v>45.2</v>
      </c>
      <c r="K35" s="27">
        <f>3.1+9.8-L35-M35-N35</f>
        <v>55.400000000000006</v>
      </c>
      <c r="L35" s="27">
        <f>-42.5-M35-N35</f>
        <v>24</v>
      </c>
      <c r="M35" s="27">
        <f>-66.5-N35</f>
        <v>-76.298000000000002</v>
      </c>
      <c r="N35" s="27">
        <v>9.798</v>
      </c>
      <c r="O35" s="27">
        <v>116.702</v>
      </c>
      <c r="P35" s="27">
        <v>33.337000000000003</v>
      </c>
      <c r="Q35" s="27">
        <v>35.570999999999998</v>
      </c>
      <c r="R35" s="27">
        <v>19.593</v>
      </c>
    </row>
    <row r="36" spans="1:20" s="33" customFormat="1">
      <c r="A36" s="20" t="s">
        <v>68</v>
      </c>
      <c r="B36" s="29">
        <f>-18.2+4.8</f>
        <v>-13.399999999999999</v>
      </c>
      <c r="C36" s="29">
        <f>-39.4+0.5-D36-E36-F36</f>
        <v>-11.500000000000002</v>
      </c>
      <c r="D36" s="29">
        <f>-27.9+0.5-E36-F36</f>
        <v>-7.2999999999999972</v>
      </c>
      <c r="E36" s="29">
        <f>-20.5+0.4-F36</f>
        <v>-11.500000000000002</v>
      </c>
      <c r="F36" s="29">
        <v>-8.6</v>
      </c>
      <c r="G36" s="29">
        <f>-76.5+2.1-H36-I36-J36</f>
        <v>-42.6</v>
      </c>
      <c r="H36" s="29">
        <f>-33+1.2-I36-J36</f>
        <v>-16.899999999999999</v>
      </c>
      <c r="I36" s="29">
        <f>-15.9+1-J36</f>
        <v>-6.8000000000000007</v>
      </c>
      <c r="J36" s="29">
        <v>-8.1</v>
      </c>
      <c r="K36" s="29">
        <f>-21.6-5.5+1.3+0.1-L36-M36-N36</f>
        <v>-18.5</v>
      </c>
      <c r="L36" s="29">
        <f>-7.5+0.3-M36-N36</f>
        <v>-3.7</v>
      </c>
      <c r="M36" s="29">
        <f>-3.5-N36</f>
        <v>0.5680000000000005</v>
      </c>
      <c r="N36" s="29">
        <f>-4.152+0.084</f>
        <v>-4.0680000000000005</v>
      </c>
      <c r="O36" s="29">
        <v>-9.0900000000000034</v>
      </c>
      <c r="P36" s="29">
        <v>-7.226</v>
      </c>
      <c r="Q36" s="29">
        <v>-7.3519999999999994</v>
      </c>
      <c r="R36" s="29">
        <v>-1.7930000000000001</v>
      </c>
      <c r="S36" s="29"/>
      <c r="T36" s="29"/>
    </row>
    <row r="37" spans="1:20" s="27" customFormat="1">
      <c r="A37" s="27" t="s">
        <v>69</v>
      </c>
      <c r="B37" s="27">
        <f t="shared" ref="B37:M37" si="23">+B35+B36</f>
        <v>0.70000000000000107</v>
      </c>
      <c r="C37" s="27">
        <f t="shared" si="23"/>
        <v>46.20000000000001</v>
      </c>
      <c r="D37" s="27">
        <f t="shared" si="23"/>
        <v>27.4</v>
      </c>
      <c r="E37" s="27">
        <f t="shared" si="23"/>
        <v>0</v>
      </c>
      <c r="F37" s="27">
        <f t="shared" si="23"/>
        <v>9.5000000000000018</v>
      </c>
      <c r="G37" s="27">
        <f t="shared" si="23"/>
        <v>9.9999999999972999E-2</v>
      </c>
      <c r="H37" s="27">
        <f t="shared" si="23"/>
        <v>41.70000000000001</v>
      </c>
      <c r="I37" s="27">
        <f t="shared" si="23"/>
        <v>-17.100000000000005</v>
      </c>
      <c r="J37" s="27">
        <f t="shared" si="23"/>
        <v>37.1</v>
      </c>
      <c r="K37" s="27">
        <f t="shared" si="23"/>
        <v>36.900000000000006</v>
      </c>
      <c r="L37" s="27">
        <f t="shared" si="23"/>
        <v>20.3</v>
      </c>
      <c r="M37" s="27">
        <f t="shared" si="23"/>
        <v>-75.73</v>
      </c>
      <c r="N37" s="27">
        <f t="shared" ref="N37:R37" si="24">+N35+N36</f>
        <v>5.7299999999999995</v>
      </c>
      <c r="O37" s="27">
        <f t="shared" si="24"/>
        <v>107.61199999999999</v>
      </c>
      <c r="P37" s="27">
        <f t="shared" si="24"/>
        <v>26.111000000000004</v>
      </c>
      <c r="Q37" s="27">
        <f t="shared" si="24"/>
        <v>28.218999999999998</v>
      </c>
      <c r="R37" s="27">
        <f t="shared" si="24"/>
        <v>17.8</v>
      </c>
    </row>
    <row r="39" spans="1:20" s="35" customFormat="1">
      <c r="A39" s="34" t="s">
        <v>70</v>
      </c>
      <c r="B39" s="20">
        <v>0</v>
      </c>
      <c r="C39" s="20">
        <v>0</v>
      </c>
      <c r="D39" s="20">
        <v>15</v>
      </c>
      <c r="E39" s="20">
        <v>50</v>
      </c>
      <c r="F39" s="20">
        <v>185</v>
      </c>
      <c r="G39" s="20">
        <v>0</v>
      </c>
      <c r="H39" s="20">
        <v>0</v>
      </c>
      <c r="I39" s="20">
        <v>30</v>
      </c>
      <c r="J39" s="20">
        <v>40</v>
      </c>
      <c r="K39" s="20">
        <v>50</v>
      </c>
      <c r="L39" s="20">
        <v>60</v>
      </c>
      <c r="M39" s="20">
        <v>70</v>
      </c>
      <c r="N39" s="20">
        <v>25</v>
      </c>
      <c r="O39" s="20">
        <v>0</v>
      </c>
      <c r="P39" s="20"/>
      <c r="Q39" s="20"/>
      <c r="R39" s="20"/>
      <c r="S39" s="20"/>
      <c r="T39" s="20"/>
    </row>
    <row r="40" spans="1:20" s="35" customFormat="1">
      <c r="A40" s="34" t="s">
        <v>71</v>
      </c>
      <c r="B40" s="20">
        <v>2037</v>
      </c>
      <c r="C40" s="20">
        <v>2042</v>
      </c>
      <c r="D40" s="20">
        <v>2045.2</v>
      </c>
      <c r="E40" s="20">
        <v>2045</v>
      </c>
      <c r="F40" s="20">
        <f>2058</f>
        <v>2058</v>
      </c>
      <c r="G40" s="20">
        <f>2063.3</f>
        <v>2063.3000000000002</v>
      </c>
      <c r="H40" s="20">
        <v>2068.5</v>
      </c>
      <c r="I40" s="20">
        <v>2074</v>
      </c>
      <c r="J40" s="20">
        <v>2079</v>
      </c>
      <c r="K40" s="20">
        <v>2084.3000000000002</v>
      </c>
      <c r="L40" s="20">
        <f>2149.5-L39</f>
        <v>2089.5</v>
      </c>
      <c r="M40" s="20">
        <v>2094.8000000000002</v>
      </c>
      <c r="N40" s="20">
        <v>2100</v>
      </c>
      <c r="O40" s="20">
        <v>0</v>
      </c>
      <c r="P40" s="20"/>
      <c r="Q40" s="20"/>
      <c r="R40" s="20"/>
      <c r="S40" s="20"/>
      <c r="T40" s="20"/>
    </row>
    <row r="41" spans="1:20" s="35" customFormat="1">
      <c r="A41" s="34" t="s">
        <v>72</v>
      </c>
      <c r="B41" s="20">
        <f>B39+B40+630+420</f>
        <v>3087</v>
      </c>
      <c r="C41" s="20">
        <f>C39+C40+630+420</f>
        <v>3092</v>
      </c>
      <c r="D41" s="20">
        <f>D39+D40+630+420</f>
        <v>3110.2</v>
      </c>
      <c r="E41" s="20">
        <f>E39+E40+630+420</f>
        <v>3145</v>
      </c>
      <c r="F41" s="20">
        <f>F39+F40+630+420</f>
        <v>3293</v>
      </c>
      <c r="G41" s="20">
        <f>G39+G40+630</f>
        <v>2693.3</v>
      </c>
      <c r="H41" s="20">
        <f>H39+H40+630</f>
        <v>2698.5</v>
      </c>
      <c r="I41" s="20">
        <f>I39+I40+630</f>
        <v>2734</v>
      </c>
      <c r="J41" s="20">
        <f>J39+J40+630</f>
        <v>2749</v>
      </c>
      <c r="K41" s="20">
        <f>K39+K40+630</f>
        <v>2764.3</v>
      </c>
      <c r="L41" s="20">
        <f>L39+L40+650</f>
        <v>2799.5</v>
      </c>
      <c r="M41" s="20">
        <f>M39+M40+650</f>
        <v>2814.8</v>
      </c>
      <c r="N41" s="20">
        <f>N39+N40+650</f>
        <v>2775</v>
      </c>
      <c r="O41" s="20">
        <v>0</v>
      </c>
      <c r="P41" s="20"/>
      <c r="Q41" s="20"/>
      <c r="R41" s="20"/>
      <c r="S41" s="20"/>
      <c r="T41" s="20"/>
    </row>
    <row r="42" spans="1:20" s="35" customFormat="1">
      <c r="A42" s="34" t="s">
        <v>73</v>
      </c>
      <c r="B42" s="36">
        <v>0</v>
      </c>
      <c r="C42" s="36">
        <v>0</v>
      </c>
      <c r="D42" s="36">
        <v>0</v>
      </c>
      <c r="E42" s="36">
        <v>0</v>
      </c>
      <c r="F42" s="36">
        <v>0</v>
      </c>
      <c r="G42" s="36">
        <v>0</v>
      </c>
      <c r="H42" s="36">
        <v>0</v>
      </c>
      <c r="I42" s="36">
        <v>0</v>
      </c>
      <c r="J42" s="36">
        <v>0</v>
      </c>
      <c r="K42" s="36">
        <v>0</v>
      </c>
      <c r="L42" s="36">
        <v>0</v>
      </c>
      <c r="M42" s="36">
        <v>0</v>
      </c>
      <c r="N42" s="36">
        <v>0</v>
      </c>
      <c r="O42" s="36">
        <v>0</v>
      </c>
      <c r="P42" s="36"/>
      <c r="Q42" s="36"/>
      <c r="R42" s="36"/>
      <c r="S42" s="36"/>
      <c r="T42" s="36"/>
    </row>
    <row r="43" spans="1:20">
      <c r="B43" s="35"/>
      <c r="C43" s="35"/>
      <c r="D43" s="35"/>
      <c r="E43" s="35"/>
      <c r="F43" s="35"/>
      <c r="G43" s="35"/>
      <c r="H43" s="35"/>
      <c r="I43" s="35"/>
      <c r="J43" s="35"/>
      <c r="K43" s="35"/>
      <c r="L43" s="35"/>
      <c r="M43" s="35"/>
      <c r="N43" s="35"/>
      <c r="O43" s="35"/>
    </row>
    <row r="44" spans="1:20">
      <c r="A44" s="19" t="s">
        <v>74</v>
      </c>
      <c r="B44" s="28">
        <v>55</v>
      </c>
      <c r="C44" s="28">
        <v>61</v>
      </c>
      <c r="D44" s="28">
        <v>42.5</v>
      </c>
      <c r="E44" s="28">
        <v>35</v>
      </c>
      <c r="F44" s="28">
        <v>183.1</v>
      </c>
      <c r="G44" s="28">
        <v>23.2</v>
      </c>
      <c r="H44" s="28">
        <v>42.2</v>
      </c>
      <c r="I44" s="28">
        <v>35.799999999999997</v>
      </c>
      <c r="J44" s="28">
        <v>39.6</v>
      </c>
      <c r="K44" s="28">
        <v>46.2</v>
      </c>
      <c r="L44" s="28">
        <v>27.934000000000001</v>
      </c>
      <c r="M44" s="28">
        <v>26.143999999999998</v>
      </c>
      <c r="N44" s="28">
        <v>46.963000000000001</v>
      </c>
      <c r="O44" s="28">
        <v>72.311999999999998</v>
      </c>
      <c r="P44" s="28"/>
      <c r="Q44" s="28"/>
      <c r="R44" s="57"/>
      <c r="S44" s="57"/>
      <c r="T44" s="57"/>
    </row>
    <row r="46" spans="1:20">
      <c r="A46" s="14" t="s">
        <v>75</v>
      </c>
      <c r="B46" s="33">
        <f t="shared" ref="B46:O46" si="25">SUM(B12:E12)</f>
        <v>1207</v>
      </c>
      <c r="C46" s="33">
        <f t="shared" si="25"/>
        <v>1160.5999999999999</v>
      </c>
      <c r="D46" s="33">
        <f t="shared" si="25"/>
        <v>1157.0999999999999</v>
      </c>
      <c r="E46" s="33">
        <f t="shared" si="25"/>
        <v>1176.9000000000001</v>
      </c>
      <c r="F46" s="33">
        <f t="shared" si="25"/>
        <v>1192.4000000000001</v>
      </c>
      <c r="G46" s="33">
        <f t="shared" si="25"/>
        <v>1283.4000000000001</v>
      </c>
      <c r="H46" s="33">
        <f t="shared" si="25"/>
        <v>1309.9189999999999</v>
      </c>
      <c r="I46" s="33">
        <f t="shared" si="25"/>
        <v>1306.9189999999999</v>
      </c>
      <c r="J46" s="33">
        <f t="shared" si="25"/>
        <v>1312.7190000000001</v>
      </c>
      <c r="K46" s="33">
        <f t="shared" si="25"/>
        <v>1262.0999999999999</v>
      </c>
      <c r="L46" s="33">
        <f t="shared" si="25"/>
        <v>1275.6099999999997</v>
      </c>
      <c r="M46" s="33">
        <f t="shared" si="25"/>
        <v>1268.1119999999999</v>
      </c>
      <c r="N46" s="33">
        <f t="shared" si="25"/>
        <v>1293.1259999999997</v>
      </c>
      <c r="O46" s="33">
        <f t="shared" si="25"/>
        <v>1303.8309999999999</v>
      </c>
      <c r="P46" s="33"/>
      <c r="Q46" s="33"/>
    </row>
    <row r="47" spans="1:20">
      <c r="A47" s="14" t="s">
        <v>76</v>
      </c>
      <c r="B47" s="33">
        <f t="shared" ref="B47:C47" si="26">+B27</f>
        <v>403.1</v>
      </c>
      <c r="C47" s="33">
        <f t="shared" si="26"/>
        <v>403.2</v>
      </c>
      <c r="D47" s="33">
        <f t="shared" ref="D47:E47" si="27">+D27</f>
        <v>404.3</v>
      </c>
      <c r="E47" s="33">
        <f t="shared" si="27"/>
        <v>413.7</v>
      </c>
      <c r="F47" s="33">
        <f t="shared" ref="F47:G47" si="28">+F27</f>
        <v>419.9</v>
      </c>
      <c r="G47" s="33">
        <f t="shared" si="28"/>
        <v>435.3</v>
      </c>
      <c r="H47" s="33">
        <f t="shared" ref="H47:I47" si="29">+H27</f>
        <v>422.2</v>
      </c>
      <c r="I47" s="33">
        <f t="shared" si="29"/>
        <v>405.7</v>
      </c>
      <c r="J47" s="33">
        <f t="shared" ref="J47:O47" si="30">+J27</f>
        <v>388.4</v>
      </c>
      <c r="K47" s="33">
        <f t="shared" si="30"/>
        <v>344.80000000000007</v>
      </c>
      <c r="L47" s="33">
        <f t="shared" si="30"/>
        <v>338.9</v>
      </c>
      <c r="M47" s="33">
        <f t="shared" si="30"/>
        <v>331.20000000000005</v>
      </c>
      <c r="N47" s="33">
        <f t="shared" si="30"/>
        <v>353.2</v>
      </c>
      <c r="O47" s="33">
        <f t="shared" si="30"/>
        <v>360.20000000000005</v>
      </c>
      <c r="P47" s="33"/>
      <c r="Q47" s="33"/>
    </row>
    <row r="48" spans="1:20">
      <c r="A48" s="14" t="s">
        <v>77</v>
      </c>
      <c r="B48" s="33">
        <f t="shared" ref="B48:O48" si="31">+SUM(B37:E37)</f>
        <v>74.300000000000011</v>
      </c>
      <c r="C48" s="33">
        <f t="shared" si="31"/>
        <v>83.100000000000009</v>
      </c>
      <c r="D48" s="33">
        <f t="shared" si="31"/>
        <v>36.999999999999972</v>
      </c>
      <c r="E48" s="33">
        <f t="shared" si="31"/>
        <v>51.299999999999983</v>
      </c>
      <c r="F48" s="33">
        <f t="shared" si="31"/>
        <v>34.199999999999974</v>
      </c>
      <c r="G48" s="33">
        <f t="shared" si="31"/>
        <v>61.799999999999983</v>
      </c>
      <c r="H48" s="33">
        <f t="shared" si="31"/>
        <v>98.600000000000009</v>
      </c>
      <c r="I48" s="33">
        <f t="shared" si="31"/>
        <v>77.2</v>
      </c>
      <c r="J48" s="33">
        <f t="shared" si="31"/>
        <v>18.569999999999993</v>
      </c>
      <c r="K48" s="33">
        <f t="shared" si="31"/>
        <v>-12.8</v>
      </c>
      <c r="L48" s="33">
        <f t="shared" si="31"/>
        <v>57.911999999999985</v>
      </c>
      <c r="M48" s="33">
        <f t="shared" si="31"/>
        <v>63.722999999999999</v>
      </c>
      <c r="N48" s="33">
        <f t="shared" si="31"/>
        <v>167.672</v>
      </c>
      <c r="O48" s="33">
        <f t="shared" si="31"/>
        <v>179.74200000000002</v>
      </c>
      <c r="P48" s="33"/>
      <c r="Q48" s="33"/>
    </row>
    <row r="50" spans="1:20" s="37" customFormat="1">
      <c r="A50" s="37" t="s">
        <v>78</v>
      </c>
      <c r="B50" s="37">
        <f t="shared" ref="B50" si="32">+SUM(B39:B40)/B47</f>
        <v>5.0533366410320015</v>
      </c>
      <c r="C50" s="37">
        <f t="shared" ref="C50:D50" si="33">+SUM(C39:C40)/C47</f>
        <v>5.0644841269841274</v>
      </c>
      <c r="D50" s="37">
        <f t="shared" si="33"/>
        <v>5.0957209992579759</v>
      </c>
      <c r="E50" s="37">
        <f t="shared" ref="E50:F50" si="34">+SUM(E39:E40)/E47</f>
        <v>5.064056079284506</v>
      </c>
      <c r="F50" s="37">
        <f t="shared" si="34"/>
        <v>5.3417480352464874</v>
      </c>
      <c r="G50" s="37">
        <f t="shared" ref="G50:H50" si="35">+SUM(G39:G40)/G47</f>
        <v>4.739949460142431</v>
      </c>
      <c r="H50" s="37">
        <f t="shared" si="35"/>
        <v>4.8993368072003793</v>
      </c>
      <c r="I50" s="37">
        <f t="shared" ref="I50:N50" si="36">+SUM(I39:I40)/I47</f>
        <v>5.1860981020458468</v>
      </c>
      <c r="J50" s="37">
        <f t="shared" si="36"/>
        <v>5.4557157569515971</v>
      </c>
      <c r="K50" s="37">
        <f t="shared" si="36"/>
        <v>6.189965197215777</v>
      </c>
      <c r="L50" s="37">
        <f t="shared" si="36"/>
        <v>6.3425789318383012</v>
      </c>
      <c r="M50" s="37">
        <f t="shared" si="36"/>
        <v>6.5362318840579707</v>
      </c>
      <c r="N50" s="37">
        <f t="shared" si="36"/>
        <v>6.016421291053228</v>
      </c>
    </row>
    <row r="51" spans="1:20" s="37" customFormat="1">
      <c r="A51" s="37" t="s">
        <v>79</v>
      </c>
      <c r="B51" s="37">
        <f t="shared" ref="B51" si="37">+B41/B47</f>
        <v>7.6581493425948892</v>
      </c>
      <c r="C51" s="37">
        <f t="shared" ref="C51:D51" si="38">+C41/C47</f>
        <v>7.6686507936507935</v>
      </c>
      <c r="D51" s="37">
        <f t="shared" si="38"/>
        <v>7.6928023744743994</v>
      </c>
      <c r="E51" s="37">
        <f t="shared" ref="E51:F51" si="39">+E41/E47</f>
        <v>7.6021271452743537</v>
      </c>
      <c r="F51" s="37">
        <f t="shared" si="39"/>
        <v>7.8423434150988331</v>
      </c>
      <c r="G51" s="37">
        <f t="shared" ref="G51:H51" si="40">+G41/G47</f>
        <v>6.1872271996324377</v>
      </c>
      <c r="H51" s="37">
        <f t="shared" si="40"/>
        <v>6.3915206063477026</v>
      </c>
      <c r="I51" s="37">
        <f t="shared" ref="I51:N51" si="41">+I41/I47</f>
        <v>6.7389696820310574</v>
      </c>
      <c r="J51" s="37">
        <f t="shared" si="41"/>
        <v>7.0777548918640578</v>
      </c>
      <c r="K51" s="37">
        <f t="shared" si="41"/>
        <v>8.0171113689095108</v>
      </c>
      <c r="L51" s="37">
        <f t="shared" si="41"/>
        <v>8.2605488344644442</v>
      </c>
      <c r="M51" s="37">
        <f t="shared" si="41"/>
        <v>8.4987922705313999</v>
      </c>
      <c r="N51" s="37">
        <f t="shared" si="41"/>
        <v>7.8567383918459797</v>
      </c>
    </row>
    <row r="52" spans="1:20" s="37" customFormat="1">
      <c r="A52" s="37" t="s">
        <v>80</v>
      </c>
      <c r="B52" s="37">
        <f t="shared" ref="B52" si="42">+(B41-B44)/B47</f>
        <v>7.5217067725130233</v>
      </c>
      <c r="C52" s="37">
        <f t="shared" ref="C52:D52" si="43">+(C41-C44)/C47</f>
        <v>7.5173611111111116</v>
      </c>
      <c r="D52" s="37">
        <f t="shared" si="43"/>
        <v>7.5876824140489729</v>
      </c>
      <c r="E52" s="37">
        <f t="shared" ref="E52:F52" si="44">+(E41-E44)/E47</f>
        <v>7.5175247764080257</v>
      </c>
      <c r="F52" s="37">
        <f t="shared" si="44"/>
        <v>7.4062872112407723</v>
      </c>
      <c r="G52" s="37">
        <f t="shared" ref="G52:H52" si="45">+(G41-G44)/G47</f>
        <v>6.1339306225591557</v>
      </c>
      <c r="H52" s="37">
        <f t="shared" si="45"/>
        <v>6.2915679772619617</v>
      </c>
      <c r="I52" s="37">
        <f t="shared" ref="I52:N52" si="46">+(I41-I44)/I47</f>
        <v>6.6507271382795166</v>
      </c>
      <c r="J52" s="37">
        <f t="shared" si="46"/>
        <v>6.9757981462409893</v>
      </c>
      <c r="K52" s="37">
        <f t="shared" si="46"/>
        <v>7.8831206496519712</v>
      </c>
      <c r="L52" s="37">
        <f t="shared" si="46"/>
        <v>8.1781233402183542</v>
      </c>
      <c r="M52" s="37">
        <f t="shared" si="46"/>
        <v>8.4198550724637684</v>
      </c>
      <c r="N52" s="37">
        <f t="shared" si="46"/>
        <v>7.7237740656851637</v>
      </c>
    </row>
    <row r="53" spans="1:20" s="38" customFormat="1">
      <c r="A53" s="38" t="s">
        <v>81</v>
      </c>
      <c r="B53" s="38">
        <f t="shared" ref="B53" si="47">+B48/B41</f>
        <v>2.4068675089083256E-2</v>
      </c>
      <c r="C53" s="38">
        <f t="shared" ref="C53:D53" si="48">+C48/C41</f>
        <v>2.6875808538163005E-2</v>
      </c>
      <c r="D53" s="38">
        <f t="shared" si="48"/>
        <v>1.1896341071313734E-2</v>
      </c>
      <c r="E53" s="38">
        <f t="shared" ref="E53:F53" si="49">+E48/E41</f>
        <v>1.6311605723370422E-2</v>
      </c>
      <c r="F53" s="38">
        <f t="shared" si="49"/>
        <v>1.0385666565441839E-2</v>
      </c>
      <c r="G53" s="38">
        <f t="shared" ref="G53:H53" si="50">+G48/G41</f>
        <v>2.294582853748189E-2</v>
      </c>
      <c r="H53" s="38">
        <f t="shared" si="50"/>
        <v>3.6538817861775062E-2</v>
      </c>
      <c r="I53" s="38">
        <f t="shared" ref="I53:N53" si="51">+I48/I41</f>
        <v>2.8237015362106804E-2</v>
      </c>
      <c r="J53" s="38">
        <f t="shared" si="51"/>
        <v>6.7551837031647848E-3</v>
      </c>
      <c r="K53" s="38">
        <f t="shared" si="51"/>
        <v>-4.630467026010201E-3</v>
      </c>
      <c r="L53" s="38">
        <f t="shared" si="51"/>
        <v>2.0686551169851755E-2</v>
      </c>
      <c r="M53" s="38">
        <f t="shared" si="51"/>
        <v>2.2638553360807161E-2</v>
      </c>
      <c r="N53" s="38">
        <f t="shared" si="51"/>
        <v>6.0422342342342339E-2</v>
      </c>
    </row>
    <row r="54" spans="1:20" s="38" customFormat="1">
      <c r="A54" s="39" t="s">
        <v>82</v>
      </c>
      <c r="B54" s="40"/>
      <c r="C54" s="40"/>
      <c r="D54" s="40"/>
      <c r="E54" s="40"/>
      <c r="F54" s="40"/>
      <c r="G54" s="40"/>
      <c r="H54" s="40"/>
      <c r="I54" s="40"/>
      <c r="J54" s="40"/>
      <c r="K54" s="40"/>
      <c r="L54" s="40"/>
      <c r="M54" s="40"/>
      <c r="N54" s="40"/>
      <c r="O54" s="40"/>
      <c r="P54" s="40"/>
      <c r="Q54" s="40"/>
      <c r="R54" s="39"/>
      <c r="S54" s="39"/>
      <c r="T54" s="39"/>
    </row>
    <row r="55" spans="1:20" s="38" customFormat="1">
      <c r="A55" s="38" t="s">
        <v>83</v>
      </c>
      <c r="B55" s="41" t="str">
        <f t="shared" ref="B55" si="52">IF(B42=0,IF(B54="","","*"&amp;TEXT(B54,"0.0x")),(B41+B42-B44)/B47)</f>
        <v/>
      </c>
      <c r="C55" s="41" t="str">
        <f t="shared" ref="C55:D55" si="53">IF(C42=0,IF(C54="","","*"&amp;TEXT(C54,"0.0x")),(C41+C42-C44)/C47)</f>
        <v/>
      </c>
      <c r="D55" s="41" t="str">
        <f t="shared" si="53"/>
        <v/>
      </c>
      <c r="E55" s="41" t="str">
        <f t="shared" ref="E55:F55" si="54">IF(E42=0,IF(E54="","","*"&amp;TEXT(E54,"0.0x")),(E41+E42-E44)/E47)</f>
        <v/>
      </c>
      <c r="F55" s="41" t="str">
        <f t="shared" si="54"/>
        <v/>
      </c>
      <c r="G55" s="41" t="str">
        <f t="shared" ref="G55:H55" si="55">IF(G42=0,IF(G54="","","*"&amp;TEXT(G54,"0.0x")),(G41+G42-G44)/G47)</f>
        <v/>
      </c>
      <c r="H55" s="41" t="str">
        <f t="shared" si="55"/>
        <v/>
      </c>
      <c r="I55" s="41" t="str">
        <f t="shared" ref="I55:N55" si="56">IF(I42=0,IF(I54="","","*"&amp;TEXT(I54,"0.0x")),(I41+I42-I44)/I47)</f>
        <v/>
      </c>
      <c r="J55" s="41" t="str">
        <f t="shared" si="56"/>
        <v/>
      </c>
      <c r="K55" s="41" t="str">
        <f t="shared" si="56"/>
        <v/>
      </c>
      <c r="L55" s="41" t="str">
        <f t="shared" si="56"/>
        <v/>
      </c>
      <c r="M55" s="41" t="str">
        <f t="shared" si="56"/>
        <v/>
      </c>
      <c r="N55" s="41" t="str">
        <f t="shared" si="56"/>
        <v/>
      </c>
      <c r="O55" s="41"/>
      <c r="P55" s="41"/>
      <c r="Q55" s="41"/>
      <c r="R55" s="41" t="str">
        <f>IF(R42=0,IF(R54="","",CONCATENATE("* ",R54,"x")),(R41+R42-R44)/R47)</f>
        <v/>
      </c>
      <c r="S55" s="41" t="str">
        <f>IF(S42=0,IF(S54="","",CONCATENATE("* ",S54,"x")),(S41+S42-S44)/S47)</f>
        <v/>
      </c>
      <c r="T55" s="41" t="str">
        <f>IF(T42=0,IF(T54="","",CONCATENATE("* ",T54,"x")),(T41+T42-T44)/T47)</f>
        <v/>
      </c>
    </row>
    <row r="56" spans="1:20">
      <c r="Q56" s="42"/>
    </row>
    <row r="57" spans="1:20" ht="79.5" customHeight="1">
      <c r="A57" s="43" t="s">
        <v>84</v>
      </c>
      <c r="B57" s="44" t="s">
        <v>289</v>
      </c>
      <c r="C57" s="44" t="s">
        <v>289</v>
      </c>
      <c r="D57" s="44" t="s">
        <v>289</v>
      </c>
      <c r="E57" s="44" t="s">
        <v>289</v>
      </c>
      <c r="F57" s="44" t="s">
        <v>289</v>
      </c>
      <c r="G57" s="44" t="s">
        <v>289</v>
      </c>
      <c r="H57" s="44" t="s">
        <v>289</v>
      </c>
      <c r="I57" s="44" t="s">
        <v>289</v>
      </c>
      <c r="J57" s="44" t="s">
        <v>289</v>
      </c>
      <c r="K57" s="44" t="s">
        <v>289</v>
      </c>
      <c r="L57" s="44" t="s">
        <v>289</v>
      </c>
      <c r="M57" s="44" t="s">
        <v>90</v>
      </c>
      <c r="N57" s="44"/>
      <c r="O57" s="44"/>
      <c r="P57" s="44"/>
      <c r="Q57" s="44"/>
      <c r="R57" s="44"/>
      <c r="S57" s="44"/>
      <c r="T57" s="44"/>
    </row>
    <row r="58" spans="1:20">
      <c r="A58" s="45"/>
      <c r="B58" s="42"/>
      <c r="C58" s="42"/>
      <c r="D58" s="42"/>
      <c r="E58" s="42"/>
      <c r="F58" s="42"/>
      <c r="G58" s="42"/>
      <c r="H58" s="42"/>
      <c r="I58" s="42"/>
      <c r="J58" s="42"/>
      <c r="K58" s="42"/>
      <c r="L58" s="42"/>
      <c r="M58" s="42"/>
    </row>
    <row r="59" spans="1:20">
      <c r="A59" s="45"/>
    </row>
  </sheetData>
  <pageMargins left="0.7" right="0.7" top="0.75" bottom="0.75" header="0.3" footer="0.3"/>
  <pageSetup orientation="portrait" r:id="rId1"/>
  <ignoredErrors>
    <ignoredError sqref="J46:P56 H46:I46" formulaRange="1"/>
  </ignoredErrors>
  <legacyDrawing r:id="rId2"/>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2:Y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6" width="10.6640625" style="14" customWidth="1"/>
    <col min="17" max="19" width="9.109375" style="14"/>
    <col min="20" max="21" width="9.6640625" style="14" bestFit="1" customWidth="1"/>
    <col min="22" max="16384" width="9.109375" style="14"/>
  </cols>
  <sheetData>
    <row r="2" spans="1:23">
      <c r="A2" s="13" t="s">
        <v>44</v>
      </c>
      <c r="B2" s="14" t="s">
        <v>284</v>
      </c>
    </row>
    <row r="3" spans="1:23" s="16" customFormat="1">
      <c r="A3" s="15" t="s">
        <v>45</v>
      </c>
      <c r="B3" s="16" t="s">
        <v>286</v>
      </c>
    </row>
    <row r="4" spans="1:23">
      <c r="A4" s="13" t="s">
        <v>2</v>
      </c>
      <c r="B4" s="14" t="s">
        <v>4</v>
      </c>
    </row>
    <row r="5" spans="1:23">
      <c r="A5" s="13" t="s">
        <v>46</v>
      </c>
    </row>
    <row r="6" spans="1:23">
      <c r="A6" s="13" t="s">
        <v>47</v>
      </c>
      <c r="B6" s="14">
        <v>2</v>
      </c>
    </row>
    <row r="7" spans="1:23">
      <c r="A7" s="13" t="s">
        <v>48</v>
      </c>
      <c r="B7" s="14" t="s">
        <v>448</v>
      </c>
    </row>
    <row r="8" spans="1:23">
      <c r="A8" s="13" t="s">
        <v>347</v>
      </c>
      <c r="B8" s="14" t="s">
        <v>360</v>
      </c>
    </row>
    <row r="9" spans="1:23">
      <c r="A9" s="17"/>
    </row>
    <row r="10" spans="1:23">
      <c r="A10" s="17" t="s">
        <v>49</v>
      </c>
      <c r="B10" s="18">
        <v>44104</v>
      </c>
      <c r="C10" s="18">
        <v>44012</v>
      </c>
      <c r="D10" s="18">
        <v>43921</v>
      </c>
      <c r="E10" s="18">
        <v>43830</v>
      </c>
      <c r="F10" s="18">
        <v>43738</v>
      </c>
      <c r="G10" s="18">
        <v>43646</v>
      </c>
      <c r="H10" s="18">
        <v>43555</v>
      </c>
      <c r="I10" s="18">
        <v>43465</v>
      </c>
      <c r="J10" s="18">
        <v>43373</v>
      </c>
      <c r="K10" s="18">
        <v>43281</v>
      </c>
      <c r="L10" s="18">
        <f>EOMONTH(K10,-3)</f>
        <v>43190</v>
      </c>
      <c r="M10" s="18">
        <f t="shared" ref="M10:P10" si="0">EOMONTH(L10,-3)</f>
        <v>43100</v>
      </c>
      <c r="N10" s="18">
        <f t="shared" si="0"/>
        <v>43008</v>
      </c>
      <c r="O10" s="18">
        <f t="shared" si="0"/>
        <v>42916</v>
      </c>
      <c r="P10" s="18">
        <f t="shared" si="0"/>
        <v>42825</v>
      </c>
    </row>
    <row r="12" spans="1:23">
      <c r="A12" s="19" t="s">
        <v>50</v>
      </c>
      <c r="B12" s="20">
        <v>804</v>
      </c>
      <c r="C12" s="20">
        <v>477</v>
      </c>
      <c r="D12" s="20">
        <v>745</v>
      </c>
      <c r="E12" s="20">
        <f>3248-F12-G12-H12</f>
        <v>830</v>
      </c>
      <c r="F12" s="20">
        <v>781</v>
      </c>
      <c r="G12" s="20">
        <v>802</v>
      </c>
      <c r="H12" s="20">
        <v>835</v>
      </c>
      <c r="I12" s="20">
        <f>3375-J12-K12-L12</f>
        <v>799</v>
      </c>
      <c r="J12" s="20">
        <v>784</v>
      </c>
      <c r="K12" s="20">
        <v>877</v>
      </c>
      <c r="L12" s="20">
        <f>1792-K12</f>
        <v>915</v>
      </c>
      <c r="M12" s="20">
        <f>3096-N12-O12-P12</f>
        <v>804</v>
      </c>
      <c r="N12" s="20">
        <v>745</v>
      </c>
      <c r="O12" s="20">
        <v>775</v>
      </c>
      <c r="P12" s="20">
        <f>1547-O12</f>
        <v>772</v>
      </c>
    </row>
    <row r="13" spans="1:23" s="21" customFormat="1" ht="14.4">
      <c r="A13" s="21" t="s">
        <v>51</v>
      </c>
      <c r="B13" s="21">
        <f t="shared" ref="B13:L13" si="1">+B12/F12-1</f>
        <v>2.9449423815621101E-2</v>
      </c>
      <c r="C13" s="21">
        <f t="shared" si="1"/>
        <v>-0.40523690773067333</v>
      </c>
      <c r="D13" s="21">
        <f t="shared" si="1"/>
        <v>-0.10778443113772451</v>
      </c>
      <c r="E13" s="21">
        <f t="shared" si="1"/>
        <v>3.8798498122653235E-2</v>
      </c>
      <c r="F13" s="21">
        <f t="shared" si="1"/>
        <v>-3.8265306122449161E-3</v>
      </c>
      <c r="G13" s="21">
        <f t="shared" si="1"/>
        <v>-8.5518814139110555E-2</v>
      </c>
      <c r="H13" s="21">
        <f t="shared" si="1"/>
        <v>-8.7431693989071024E-2</v>
      </c>
      <c r="I13" s="21">
        <f t="shared" si="1"/>
        <v>-6.2189054726368154E-3</v>
      </c>
      <c r="J13" s="21">
        <f t="shared" si="1"/>
        <v>5.2348993288590551E-2</v>
      </c>
      <c r="K13" s="21">
        <f t="shared" si="1"/>
        <v>0.13161290322580643</v>
      </c>
      <c r="L13" s="21">
        <f t="shared" si="1"/>
        <v>0.18523316062176165</v>
      </c>
      <c r="R13" s="14"/>
      <c r="W13" s="100" t="s">
        <v>304</v>
      </c>
    </row>
    <row r="14" spans="1:23" s="24" customFormat="1">
      <c r="A14" s="22" t="s">
        <v>52</v>
      </c>
      <c r="B14" s="66" t="s">
        <v>3</v>
      </c>
      <c r="C14" s="66">
        <v>-0.39200000000000002</v>
      </c>
      <c r="D14" s="66">
        <v>-8.5000000000000006E-2</v>
      </c>
      <c r="E14" s="66">
        <v>6.2E-2</v>
      </c>
      <c r="F14" s="66">
        <v>2.8000000000000001E-2</v>
      </c>
      <c r="G14" s="66">
        <v>-3.9E-2</v>
      </c>
      <c r="H14" s="66">
        <v>-3.2000000000000001E-2</v>
      </c>
      <c r="I14" s="66">
        <v>0.06</v>
      </c>
      <c r="J14" s="66">
        <v>7.0000000000000007E-2</v>
      </c>
      <c r="K14" s="23" t="s">
        <v>3</v>
      </c>
      <c r="L14" s="23" t="s">
        <v>3</v>
      </c>
      <c r="M14" s="23"/>
      <c r="N14" s="23"/>
      <c r="O14" s="22"/>
      <c r="P14" s="22"/>
      <c r="R14" s="14"/>
    </row>
    <row r="16" spans="1:23" s="17" customFormat="1">
      <c r="A16" s="25" t="s">
        <v>53</v>
      </c>
      <c r="B16" s="26">
        <v>120</v>
      </c>
      <c r="C16" s="26">
        <v>63</v>
      </c>
      <c r="D16" s="26">
        <v>108</v>
      </c>
      <c r="E16" s="26">
        <f>583-F16-G16-H16</f>
        <v>137</v>
      </c>
      <c r="F16" s="26">
        <v>133</v>
      </c>
      <c r="G16" s="26">
        <v>154</v>
      </c>
      <c r="H16" s="26">
        <v>159</v>
      </c>
      <c r="I16" s="26">
        <f>620-J16-K16-L16</f>
        <v>139</v>
      </c>
      <c r="J16" s="26">
        <v>137</v>
      </c>
      <c r="K16" s="26">
        <v>167</v>
      </c>
      <c r="L16" s="26">
        <f>344-K16</f>
        <v>177</v>
      </c>
      <c r="M16" s="26">
        <f>590-N16-O16-P16</f>
        <v>132</v>
      </c>
      <c r="N16" s="26">
        <v>141</v>
      </c>
      <c r="O16" s="26">
        <v>162</v>
      </c>
      <c r="P16" s="26">
        <f>317-O16</f>
        <v>155</v>
      </c>
      <c r="R16" s="24"/>
    </row>
    <row r="17" spans="1:25" s="21" customFormat="1">
      <c r="A17" s="21" t="s">
        <v>54</v>
      </c>
      <c r="B17" s="21">
        <f t="shared" ref="B17:C17" si="2">+B16/B12</f>
        <v>0.14925373134328357</v>
      </c>
      <c r="C17" s="21">
        <f t="shared" si="2"/>
        <v>0.13207547169811321</v>
      </c>
      <c r="D17" s="21">
        <f t="shared" ref="D17:E17" si="3">+D16/D12</f>
        <v>0.14496644295302014</v>
      </c>
      <c r="E17" s="21">
        <f t="shared" si="3"/>
        <v>0.16506024096385541</v>
      </c>
      <c r="F17" s="21">
        <f t="shared" ref="F17:K17" si="4">+F16/F12</f>
        <v>0.17029449423815621</v>
      </c>
      <c r="G17" s="21">
        <f t="shared" si="4"/>
        <v>0.19201995012468828</v>
      </c>
      <c r="H17" s="21">
        <f t="shared" si="4"/>
        <v>0.19041916167664671</v>
      </c>
      <c r="I17" s="21">
        <f t="shared" si="4"/>
        <v>0.17396745932415519</v>
      </c>
      <c r="J17" s="21">
        <f t="shared" si="4"/>
        <v>0.17474489795918369</v>
      </c>
      <c r="K17" s="21">
        <f t="shared" si="4"/>
        <v>0.19042189281641961</v>
      </c>
      <c r="L17" s="21">
        <f t="shared" ref="L17:P17" si="5">+L16/L12</f>
        <v>0.19344262295081968</v>
      </c>
      <c r="M17" s="21">
        <f t="shared" si="5"/>
        <v>0.16417910447761194</v>
      </c>
      <c r="N17" s="21">
        <f t="shared" si="5"/>
        <v>0.18926174496644296</v>
      </c>
      <c r="O17" s="21">
        <f t="shared" si="5"/>
        <v>0.20903225806451614</v>
      </c>
      <c r="P17" s="21">
        <f t="shared" si="5"/>
        <v>0.20077720207253885</v>
      </c>
    </row>
    <row r="18" spans="1:25" s="24" customFormat="1"/>
    <row r="19" spans="1:25"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row>
    <row r="20" spans="1:25"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row>
    <row r="21" spans="1:25"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Y21" s="113"/>
    </row>
    <row r="22" spans="1:25" s="17" customFormat="1">
      <c r="A22" s="17" t="s">
        <v>58</v>
      </c>
      <c r="B22" s="27">
        <f t="shared" ref="B22:C22" si="6">SUM(B16,B19:B21)</f>
        <v>120</v>
      </c>
      <c r="C22" s="27">
        <f t="shared" si="6"/>
        <v>63</v>
      </c>
      <c r="D22" s="27">
        <f t="shared" ref="D22:E22" si="7">SUM(D16,D19:D21)</f>
        <v>108</v>
      </c>
      <c r="E22" s="27">
        <f t="shared" si="7"/>
        <v>137</v>
      </c>
      <c r="F22" s="27">
        <f t="shared" ref="F22:K22" si="8">SUM(F16,F19:F21)</f>
        <v>133</v>
      </c>
      <c r="G22" s="27">
        <f t="shared" si="8"/>
        <v>154</v>
      </c>
      <c r="H22" s="27">
        <f t="shared" si="8"/>
        <v>159</v>
      </c>
      <c r="I22" s="27">
        <f t="shared" si="8"/>
        <v>139</v>
      </c>
      <c r="J22" s="27">
        <f t="shared" si="8"/>
        <v>137</v>
      </c>
      <c r="K22" s="27">
        <f t="shared" si="8"/>
        <v>167</v>
      </c>
      <c r="L22" s="27">
        <f t="shared" ref="L22:P22" si="9">SUM(L16,L19:L21)</f>
        <v>177</v>
      </c>
      <c r="M22" s="27">
        <f t="shared" si="9"/>
        <v>132</v>
      </c>
      <c r="N22" s="27">
        <f t="shared" si="9"/>
        <v>141</v>
      </c>
      <c r="O22" s="27">
        <f t="shared" si="9"/>
        <v>162</v>
      </c>
      <c r="P22" s="27">
        <f t="shared" si="9"/>
        <v>155</v>
      </c>
      <c r="R22" s="14"/>
    </row>
    <row r="23" spans="1:25" s="17" customFormat="1">
      <c r="B23" s="21"/>
      <c r="C23" s="21"/>
      <c r="D23" s="21"/>
      <c r="E23" s="21"/>
      <c r="F23" s="21"/>
      <c r="G23" s="21"/>
      <c r="H23" s="21"/>
      <c r="I23" s="21"/>
      <c r="J23" s="21"/>
      <c r="K23" s="27"/>
      <c r="L23" s="27"/>
      <c r="M23" s="27"/>
      <c r="N23" s="27"/>
      <c r="O23" s="27"/>
      <c r="P23" s="27"/>
    </row>
    <row r="24" spans="1:25" s="17" customFormat="1">
      <c r="A24" s="17" t="s">
        <v>59</v>
      </c>
      <c r="B24" s="27">
        <f t="shared" ref="B24:J24" si="10">SUM(B22:E22)</f>
        <v>428</v>
      </c>
      <c r="C24" s="27">
        <f t="shared" si="10"/>
        <v>441</v>
      </c>
      <c r="D24" s="27">
        <f t="shared" si="10"/>
        <v>532</v>
      </c>
      <c r="E24" s="27">
        <f t="shared" si="10"/>
        <v>583</v>
      </c>
      <c r="F24" s="27">
        <f t="shared" si="10"/>
        <v>585</v>
      </c>
      <c r="G24" s="27">
        <f t="shared" si="10"/>
        <v>589</v>
      </c>
      <c r="H24" s="27">
        <f t="shared" si="10"/>
        <v>602</v>
      </c>
      <c r="I24" s="27">
        <f t="shared" si="10"/>
        <v>620</v>
      </c>
      <c r="J24" s="27">
        <f t="shared" si="10"/>
        <v>613</v>
      </c>
      <c r="K24" s="27"/>
      <c r="L24" s="27"/>
      <c r="M24" s="27"/>
      <c r="N24" s="27"/>
      <c r="O24" s="27"/>
      <c r="P24" s="27"/>
    </row>
    <row r="25" spans="1:25" s="24" customFormat="1">
      <c r="A25" s="19" t="s">
        <v>60</v>
      </c>
      <c r="B25" s="28">
        <v>0</v>
      </c>
      <c r="C25" s="28">
        <v>0</v>
      </c>
      <c r="D25" s="28">
        <v>0</v>
      </c>
      <c r="E25" s="28">
        <v>0</v>
      </c>
      <c r="F25" s="28">
        <v>0</v>
      </c>
      <c r="G25" s="28">
        <v>0</v>
      </c>
      <c r="H25" s="28">
        <v>0</v>
      </c>
      <c r="I25" s="28">
        <v>0</v>
      </c>
      <c r="J25" s="28">
        <v>0</v>
      </c>
      <c r="K25" s="28"/>
      <c r="L25" s="28"/>
      <c r="M25" s="28"/>
      <c r="N25" s="28"/>
      <c r="O25" s="28"/>
      <c r="P25" s="28"/>
    </row>
    <row r="26" spans="1:25" s="24" customFormat="1">
      <c r="A26" s="19" t="s">
        <v>61</v>
      </c>
      <c r="B26" s="29">
        <f>C26</f>
        <v>-90</v>
      </c>
      <c r="C26" s="29">
        <f>351-C25-C24</f>
        <v>-90</v>
      </c>
      <c r="D26" s="29">
        <f>409-D25-D24</f>
        <v>-123</v>
      </c>
      <c r="E26" s="29">
        <f>459-E25-E24</f>
        <v>-124</v>
      </c>
      <c r="F26" s="29">
        <f>439-F25-F24</f>
        <v>-146</v>
      </c>
      <c r="G26" s="29">
        <f>443-G25-G24</f>
        <v>-146</v>
      </c>
      <c r="H26" s="29">
        <f>471-H25-H24</f>
        <v>-131</v>
      </c>
      <c r="I26" s="29">
        <f>494-I25-I24</f>
        <v>-126</v>
      </c>
      <c r="J26" s="29">
        <f>505-J25-J24</f>
        <v>-108</v>
      </c>
      <c r="K26" s="29"/>
      <c r="L26" s="29"/>
      <c r="M26" s="29"/>
      <c r="N26" s="29"/>
      <c r="O26" s="29"/>
      <c r="P26" s="30"/>
    </row>
    <row r="27" spans="1:25" s="32" customFormat="1">
      <c r="A27" s="17" t="s">
        <v>62</v>
      </c>
      <c r="B27" s="27">
        <f t="shared" ref="B27:C27" si="11">SUM(B24:B26)</f>
        <v>338</v>
      </c>
      <c r="C27" s="27">
        <f t="shared" si="11"/>
        <v>351</v>
      </c>
      <c r="D27" s="27">
        <f t="shared" ref="D27:I27" si="12">SUM(D24:D26)</f>
        <v>409</v>
      </c>
      <c r="E27" s="27">
        <f t="shared" si="12"/>
        <v>459</v>
      </c>
      <c r="F27" s="27">
        <f t="shared" si="12"/>
        <v>439</v>
      </c>
      <c r="G27" s="27">
        <f t="shared" si="12"/>
        <v>443</v>
      </c>
      <c r="H27" s="27">
        <f t="shared" si="12"/>
        <v>471</v>
      </c>
      <c r="I27" s="27">
        <f t="shared" si="12"/>
        <v>494</v>
      </c>
      <c r="J27" s="27">
        <f t="shared" ref="J27" si="13">SUM(J24:J26)</f>
        <v>505</v>
      </c>
      <c r="K27" s="27"/>
      <c r="L27" s="27"/>
      <c r="M27" s="27"/>
      <c r="N27" s="27"/>
      <c r="O27" s="27"/>
      <c r="P27" s="31"/>
    </row>
    <row r="28" spans="1:25" s="24" customFormat="1"/>
    <row r="29" spans="1:25" s="17" customFormat="1">
      <c r="A29" s="17" t="s">
        <v>58</v>
      </c>
      <c r="B29" s="27">
        <f t="shared" ref="B29:C29" si="14">B22</f>
        <v>120</v>
      </c>
      <c r="C29" s="27">
        <f t="shared" si="14"/>
        <v>63</v>
      </c>
      <c r="D29" s="27">
        <f t="shared" ref="D29:I29" si="15">D22</f>
        <v>108</v>
      </c>
      <c r="E29" s="27">
        <f t="shared" si="15"/>
        <v>137</v>
      </c>
      <c r="F29" s="27">
        <f t="shared" si="15"/>
        <v>133</v>
      </c>
      <c r="G29" s="27">
        <f t="shared" si="15"/>
        <v>154</v>
      </c>
      <c r="H29" s="27">
        <f t="shared" si="15"/>
        <v>159</v>
      </c>
      <c r="I29" s="27">
        <f t="shared" si="15"/>
        <v>139</v>
      </c>
      <c r="J29" s="27">
        <f t="shared" ref="J29:P29" si="16">J22</f>
        <v>137</v>
      </c>
      <c r="K29" s="27">
        <f t="shared" si="16"/>
        <v>167</v>
      </c>
      <c r="L29" s="27">
        <f t="shared" si="16"/>
        <v>177</v>
      </c>
      <c r="M29" s="27">
        <f t="shared" si="16"/>
        <v>132</v>
      </c>
      <c r="N29" s="27">
        <f t="shared" si="16"/>
        <v>141</v>
      </c>
      <c r="O29" s="27">
        <f t="shared" si="16"/>
        <v>162</v>
      </c>
      <c r="P29" s="27">
        <f t="shared" si="16"/>
        <v>155</v>
      </c>
      <c r="T29" s="18"/>
      <c r="U29" s="18"/>
    </row>
    <row r="30" spans="1:25" s="33" customFormat="1">
      <c r="A30" s="20" t="s">
        <v>63</v>
      </c>
      <c r="B30" s="20">
        <f>-56+5-C30-D30</f>
        <v>-18</v>
      </c>
      <c r="C30" s="20">
        <f>-36+3-D30</f>
        <v>-19</v>
      </c>
      <c r="D30" s="20">
        <f>-16+2</f>
        <v>-14</v>
      </c>
      <c r="E30" s="20">
        <v>-18</v>
      </c>
      <c r="F30" s="20">
        <f>-52+5-G30-H30</f>
        <v>-16</v>
      </c>
      <c r="G30" s="20">
        <f>-34+3-H30</f>
        <v>-17</v>
      </c>
      <c r="H30" s="20">
        <f>-16+2</f>
        <v>-14</v>
      </c>
      <c r="I30" s="20">
        <v>-8</v>
      </c>
      <c r="J30" s="20"/>
      <c r="K30" s="20"/>
      <c r="L30" s="20"/>
      <c r="M30" s="20"/>
      <c r="N30" s="20"/>
      <c r="O30" s="20"/>
      <c r="P30" s="20"/>
      <c r="T30" s="147"/>
      <c r="U30" s="147"/>
    </row>
    <row r="31" spans="1:25" s="33" customFormat="1">
      <c r="A31" s="20" t="s">
        <v>64</v>
      </c>
      <c r="B31" s="20">
        <f>-11-25-C31-D31</f>
        <v>-19</v>
      </c>
      <c r="C31" s="20">
        <f>-12-5-D31</f>
        <v>-1</v>
      </c>
      <c r="D31" s="20">
        <f>-1-15</f>
        <v>-16</v>
      </c>
      <c r="E31" s="20">
        <v>-18</v>
      </c>
      <c r="F31" s="20">
        <f>-79+4-G31-H31</f>
        <v>-30</v>
      </c>
      <c r="G31" s="20">
        <f>-45-H31</f>
        <v>-24</v>
      </c>
      <c r="H31" s="20">
        <f>-24+3</f>
        <v>-21</v>
      </c>
      <c r="I31" s="20">
        <v>-11</v>
      </c>
      <c r="J31" s="20"/>
      <c r="K31" s="20"/>
      <c r="L31" s="20"/>
      <c r="M31" s="20"/>
      <c r="N31" s="20"/>
      <c r="O31" s="20"/>
      <c r="P31" s="20"/>
      <c r="T31" s="147"/>
      <c r="U31" s="147"/>
    </row>
    <row r="32" spans="1:25" s="33" customFormat="1">
      <c r="A32" s="20" t="s">
        <v>65</v>
      </c>
      <c r="B32" s="20">
        <f>-35-26-54-126-22+6+20-C32-D32</f>
        <v>-51</v>
      </c>
      <c r="C32" s="20">
        <f>114-23-11-231-16-8-11-D32</f>
        <v>-163</v>
      </c>
      <c r="D32" s="20">
        <f>58-14-10-29+1-21-8</f>
        <v>-23</v>
      </c>
      <c r="E32" s="20">
        <v>103</v>
      </c>
      <c r="F32" s="20">
        <f>-29-33+7+18-48-84-4-G32-H32</f>
        <v>-4</v>
      </c>
      <c r="G32" s="20">
        <f>-42-26+14-14-48-61+8-H32</f>
        <v>-91</v>
      </c>
      <c r="H32" s="20">
        <f>-43-14+13-24+12-21-1</f>
        <v>-78</v>
      </c>
      <c r="I32" s="20">
        <v>90</v>
      </c>
      <c r="J32" s="20"/>
      <c r="K32" s="20"/>
      <c r="L32" s="20"/>
      <c r="M32" s="20"/>
      <c r="N32" s="20"/>
      <c r="O32" s="20"/>
      <c r="P32" s="20"/>
      <c r="T32" s="147"/>
      <c r="U32" s="147"/>
    </row>
    <row r="33" spans="1:21" s="33" customFormat="1">
      <c r="A33" s="20" t="s">
        <v>66</v>
      </c>
      <c r="B33" s="20">
        <v>0</v>
      </c>
      <c r="C33" s="20">
        <v>0</v>
      </c>
      <c r="D33" s="20">
        <v>0</v>
      </c>
      <c r="E33" s="20">
        <f>-40-47</f>
        <v>-87</v>
      </c>
      <c r="F33" s="20">
        <v>0</v>
      </c>
      <c r="G33" s="20">
        <v>0</v>
      </c>
      <c r="H33" s="20">
        <v>0</v>
      </c>
      <c r="I33" s="20">
        <f>-15-60</f>
        <v>-75</v>
      </c>
      <c r="J33" s="20"/>
      <c r="K33" s="20"/>
      <c r="L33" s="20"/>
      <c r="M33" s="20"/>
      <c r="N33" s="20"/>
      <c r="O33" s="20"/>
      <c r="P33" s="20"/>
      <c r="T33" s="147"/>
      <c r="U33" s="147"/>
    </row>
    <row r="34" spans="1:21" s="33" customFormat="1">
      <c r="A34" s="20" t="s">
        <v>57</v>
      </c>
      <c r="B34" s="29">
        <v>0</v>
      </c>
      <c r="C34" s="29">
        <v>0</v>
      </c>
      <c r="D34" s="29">
        <v>0</v>
      </c>
      <c r="E34" s="29">
        <f>E35-E29-E30-E31-E32-E33</f>
        <v>0</v>
      </c>
      <c r="F34" s="29">
        <v>0</v>
      </c>
      <c r="G34" s="29">
        <v>0</v>
      </c>
      <c r="H34" s="29">
        <v>0</v>
      </c>
      <c r="I34" s="29">
        <f>I35-I29-I30-I31-I32-I33</f>
        <v>-2</v>
      </c>
      <c r="J34" s="29"/>
      <c r="K34" s="29"/>
      <c r="L34" s="29"/>
      <c r="M34" s="29"/>
      <c r="N34" s="29"/>
      <c r="O34" s="29"/>
      <c r="P34" s="29"/>
      <c r="T34" s="148"/>
      <c r="U34" s="148"/>
    </row>
    <row r="35" spans="1:21" s="27" customFormat="1">
      <c r="A35" s="27" t="s">
        <v>67</v>
      </c>
      <c r="B35" s="27">
        <f>-136-C35-D35</f>
        <v>-41</v>
      </c>
      <c r="C35" s="27">
        <f>-95-D35</f>
        <v>-152</v>
      </c>
      <c r="D35" s="27">
        <v>57</v>
      </c>
      <c r="E35" s="27">
        <f>242-F35-G35-H35</f>
        <v>117</v>
      </c>
      <c r="F35" s="27">
        <f>125-G35-H35</f>
        <v>88</v>
      </c>
      <c r="G35" s="27">
        <f>37-H35</f>
        <v>1</v>
      </c>
      <c r="H35" s="27">
        <v>36</v>
      </c>
      <c r="I35" s="27">
        <f>373-J35-K35-L35</f>
        <v>133</v>
      </c>
      <c r="J35" s="27">
        <f>240-K35-L35</f>
        <v>-39</v>
      </c>
      <c r="K35" s="27">
        <f>279-L35</f>
        <v>267</v>
      </c>
      <c r="L35" s="27">
        <v>12</v>
      </c>
      <c r="T35" s="149"/>
      <c r="U35" s="149"/>
    </row>
    <row r="36" spans="1:21" s="33" customFormat="1">
      <c r="A36" s="20" t="s">
        <v>68</v>
      </c>
      <c r="B36" s="29">
        <f>-79-C36-D36</f>
        <v>-16</v>
      </c>
      <c r="C36" s="29">
        <f>-63-D36</f>
        <v>-24</v>
      </c>
      <c r="D36" s="29">
        <v>-39</v>
      </c>
      <c r="E36" s="29">
        <f>-102-F36-G36-H36</f>
        <v>-28</v>
      </c>
      <c r="F36" s="29">
        <f>-74-G36-H36</f>
        <v>-23</v>
      </c>
      <c r="G36" s="29">
        <f>-51-H36</f>
        <v>-30</v>
      </c>
      <c r="H36" s="29">
        <v>-21</v>
      </c>
      <c r="I36" s="29">
        <f>-95-J36-K36-L36</f>
        <v>-29</v>
      </c>
      <c r="J36" s="29">
        <f>-66-K36-L36</f>
        <v>-19</v>
      </c>
      <c r="K36" s="29">
        <f>-47-L36</f>
        <v>-19</v>
      </c>
      <c r="L36" s="29">
        <v>-28</v>
      </c>
      <c r="M36" s="29"/>
      <c r="N36" s="29"/>
      <c r="O36" s="29"/>
      <c r="P36" s="29"/>
      <c r="T36" s="148"/>
      <c r="U36" s="148"/>
    </row>
    <row r="37" spans="1:21" s="27" customFormat="1">
      <c r="A37" s="27" t="s">
        <v>69</v>
      </c>
      <c r="B37" s="27">
        <f t="shared" ref="B37:I37" si="17">+B35+B36</f>
        <v>-57</v>
      </c>
      <c r="C37" s="27">
        <f t="shared" si="17"/>
        <v>-176</v>
      </c>
      <c r="D37" s="27">
        <f t="shared" si="17"/>
        <v>18</v>
      </c>
      <c r="E37" s="27">
        <f t="shared" si="17"/>
        <v>89</v>
      </c>
      <c r="F37" s="27">
        <f t="shared" si="17"/>
        <v>65</v>
      </c>
      <c r="G37" s="27">
        <f t="shared" si="17"/>
        <v>-29</v>
      </c>
      <c r="H37" s="27">
        <f t="shared" si="17"/>
        <v>15</v>
      </c>
      <c r="I37" s="27">
        <f t="shared" si="17"/>
        <v>104</v>
      </c>
      <c r="J37" s="27">
        <f t="shared" ref="J37:L37" si="18">+J35+J36</f>
        <v>-58</v>
      </c>
      <c r="K37" s="27">
        <f t="shared" si="18"/>
        <v>248</v>
      </c>
      <c r="L37" s="27">
        <f t="shared" si="18"/>
        <v>-16</v>
      </c>
      <c r="T37" s="149"/>
      <c r="U37" s="149"/>
    </row>
    <row r="38" spans="1:21">
      <c r="T38" s="150"/>
      <c r="U38" s="150"/>
    </row>
    <row r="39" spans="1:21" s="35" customFormat="1">
      <c r="A39" s="34" t="s">
        <v>70</v>
      </c>
      <c r="B39" s="20">
        <v>370</v>
      </c>
      <c r="C39" s="20">
        <v>132</v>
      </c>
      <c r="D39" s="20">
        <v>66</v>
      </c>
      <c r="E39" s="20">
        <v>3</v>
      </c>
      <c r="F39" s="20">
        <v>0</v>
      </c>
      <c r="G39" s="20">
        <v>0</v>
      </c>
      <c r="H39" s="20">
        <v>0</v>
      </c>
      <c r="I39" s="20">
        <v>0</v>
      </c>
      <c r="J39" s="20">
        <v>0</v>
      </c>
      <c r="K39" s="20">
        <v>0</v>
      </c>
      <c r="L39" s="20"/>
      <c r="M39" s="20"/>
      <c r="N39" s="20"/>
      <c r="O39" s="20"/>
      <c r="P39" s="20"/>
      <c r="R39" s="33"/>
      <c r="S39" s="33"/>
    </row>
    <row r="40" spans="1:21" s="35" customFormat="1">
      <c r="A40" s="34" t="s">
        <v>71</v>
      </c>
      <c r="B40" s="20">
        <v>1045</v>
      </c>
      <c r="C40" s="20">
        <v>1044</v>
      </c>
      <c r="D40" s="20">
        <v>1033</v>
      </c>
      <c r="E40" s="20">
        <f>283+764</f>
        <v>1047</v>
      </c>
      <c r="F40" s="20">
        <v>1128</v>
      </c>
      <c r="G40" s="20">
        <v>1200</v>
      </c>
      <c r="H40" s="20">
        <v>1205</v>
      </c>
      <c r="I40" s="20">
        <f>374+853</f>
        <v>1227</v>
      </c>
      <c r="J40" s="20">
        <f>382+859</f>
        <v>1241</v>
      </c>
      <c r="K40" s="20">
        <f>400+750</f>
        <v>1150</v>
      </c>
      <c r="L40" s="20"/>
      <c r="M40" s="20"/>
      <c r="N40" s="20"/>
      <c r="O40" s="20"/>
      <c r="P40" s="20"/>
      <c r="R40" s="33"/>
      <c r="S40" s="33"/>
    </row>
    <row r="41" spans="1:21" s="35" customFormat="1">
      <c r="A41" s="34" t="s">
        <v>72</v>
      </c>
      <c r="B41" s="20">
        <f>B39+B40+407</f>
        <v>1822</v>
      </c>
      <c r="C41" s="20">
        <f>C39+C40+392+4</f>
        <v>1572</v>
      </c>
      <c r="D41" s="20">
        <f>D39+D40+385</f>
        <v>1484</v>
      </c>
      <c r="E41" s="20">
        <f>E39+E40+393</f>
        <v>1443</v>
      </c>
      <c r="F41" s="20">
        <f>F39+F40+383</f>
        <v>1511</v>
      </c>
      <c r="G41" s="20">
        <f>G39+G40+398</f>
        <v>1598</v>
      </c>
      <c r="H41" s="20">
        <f>H39+H40+393</f>
        <v>1598</v>
      </c>
      <c r="I41" s="20">
        <f>I39+I40+401</f>
        <v>1628</v>
      </c>
      <c r="J41" s="20">
        <f>J39+J40+406</f>
        <v>1647</v>
      </c>
      <c r="K41" s="20">
        <f>K39+K40+510</f>
        <v>1660</v>
      </c>
      <c r="L41" s="20"/>
      <c r="M41" s="20"/>
      <c r="N41" s="20"/>
      <c r="O41" s="20"/>
      <c r="P41" s="20"/>
      <c r="R41" s="33"/>
      <c r="S41" s="33"/>
    </row>
    <row r="42" spans="1:21" s="35" customFormat="1">
      <c r="A42" s="34" t="s">
        <v>73</v>
      </c>
      <c r="B42" s="36">
        <f>75788279/1000000*3.49</f>
        <v>264.50109371000002</v>
      </c>
      <c r="C42" s="36">
        <f>75635938/1000000*5.6</f>
        <v>423.56125279999998</v>
      </c>
      <c r="D42" s="36">
        <f>75587498/1000000*5.61</f>
        <v>424.04586377999999</v>
      </c>
      <c r="E42" s="36">
        <f>74830133/1000000*6.94</f>
        <v>519.32112302000007</v>
      </c>
      <c r="F42" s="36">
        <f>74826329/1000000*9.95</f>
        <v>744.52197354999998</v>
      </c>
      <c r="G42" s="36">
        <f>74621155/1000000*14.22</f>
        <v>1061.1128241000001</v>
      </c>
      <c r="H42" s="36">
        <f>74578460/1000000*18.32</f>
        <v>1366.2773872000002</v>
      </c>
      <c r="I42" s="36">
        <f>74019825/1000000*16.91</f>
        <v>1251.6752407500001</v>
      </c>
      <c r="J42" s="36">
        <f>(74016963/1000000)*15.17</f>
        <v>1122.8373287100001</v>
      </c>
      <c r="K42" s="36">
        <v>0</v>
      </c>
      <c r="L42" s="36"/>
      <c r="M42" s="36"/>
      <c r="N42" s="36"/>
      <c r="O42" s="36"/>
      <c r="P42" s="36"/>
      <c r="R42" s="33"/>
      <c r="S42" s="33"/>
    </row>
    <row r="43" spans="1:21">
      <c r="B43" s="35"/>
      <c r="C43" s="35"/>
      <c r="D43" s="35"/>
      <c r="E43" s="35"/>
      <c r="F43" s="35"/>
      <c r="G43" s="35"/>
      <c r="H43" s="35"/>
      <c r="I43" s="35"/>
      <c r="J43" s="35"/>
      <c r="K43" s="35"/>
      <c r="L43" s="35"/>
      <c r="M43" s="35"/>
      <c r="S43" s="90"/>
    </row>
    <row r="44" spans="1:21">
      <c r="A44" s="19" t="s">
        <v>74</v>
      </c>
      <c r="B44" s="28">
        <v>312</v>
      </c>
      <c r="C44" s="28">
        <v>139</v>
      </c>
      <c r="D44" s="28">
        <v>254</v>
      </c>
      <c r="E44" s="28">
        <v>187</v>
      </c>
      <c r="F44" s="28">
        <v>190</v>
      </c>
      <c r="G44" s="28">
        <v>182</v>
      </c>
      <c r="H44" s="28">
        <v>207</v>
      </c>
      <c r="I44" s="28">
        <v>196</v>
      </c>
      <c r="J44" s="28">
        <v>197</v>
      </c>
      <c r="K44" s="28">
        <v>90</v>
      </c>
      <c r="L44" s="28"/>
      <c r="M44" s="28"/>
      <c r="N44" s="28"/>
      <c r="O44" s="28"/>
      <c r="P44" s="57"/>
      <c r="S44" s="33"/>
    </row>
    <row r="46" spans="1:21">
      <c r="A46" s="14" t="s">
        <v>75</v>
      </c>
      <c r="B46" s="58">
        <f t="shared" ref="B46:I46" si="19">SUM(B12:E12)</f>
        <v>2856</v>
      </c>
      <c r="C46" s="58">
        <f t="shared" si="19"/>
        <v>2833</v>
      </c>
      <c r="D46" s="58">
        <f t="shared" si="19"/>
        <v>3158</v>
      </c>
      <c r="E46" s="58">
        <f t="shared" si="19"/>
        <v>3248</v>
      </c>
      <c r="F46" s="58">
        <f t="shared" si="19"/>
        <v>3217</v>
      </c>
      <c r="G46" s="58">
        <f t="shared" si="19"/>
        <v>3220</v>
      </c>
      <c r="H46" s="58">
        <f t="shared" si="19"/>
        <v>3295</v>
      </c>
      <c r="I46" s="58">
        <f t="shared" si="19"/>
        <v>3375</v>
      </c>
      <c r="J46" s="51">
        <f>K46+J12-N12</f>
        <v>3380</v>
      </c>
      <c r="K46" s="51">
        <v>3341</v>
      </c>
      <c r="L46" s="33"/>
      <c r="M46" s="33"/>
      <c r="N46" s="33"/>
      <c r="O46" s="33"/>
    </row>
    <row r="47" spans="1:21">
      <c r="A47" s="14" t="s">
        <v>76</v>
      </c>
      <c r="B47" s="58">
        <f t="shared" ref="B47" si="20">B27</f>
        <v>338</v>
      </c>
      <c r="C47" s="58">
        <f t="shared" ref="C47:D47" si="21">C27</f>
        <v>351</v>
      </c>
      <c r="D47" s="58">
        <f t="shared" si="21"/>
        <v>409</v>
      </c>
      <c r="E47" s="58">
        <f t="shared" ref="E47:J47" si="22">E27</f>
        <v>459</v>
      </c>
      <c r="F47" s="58">
        <f t="shared" si="22"/>
        <v>439</v>
      </c>
      <c r="G47" s="58">
        <f t="shared" si="22"/>
        <v>443</v>
      </c>
      <c r="H47" s="58">
        <f t="shared" si="22"/>
        <v>471</v>
      </c>
      <c r="I47" s="58">
        <f t="shared" si="22"/>
        <v>494</v>
      </c>
      <c r="J47" s="58">
        <f t="shared" si="22"/>
        <v>505</v>
      </c>
      <c r="K47" s="51">
        <v>513</v>
      </c>
      <c r="L47" s="33"/>
      <c r="M47" s="33"/>
      <c r="N47" s="33"/>
      <c r="O47" s="33"/>
    </row>
    <row r="48" spans="1:21">
      <c r="A48" s="14" t="s">
        <v>77</v>
      </c>
      <c r="B48" s="58">
        <f t="shared" ref="B48:G48" si="23">SUM(B37:E37)</f>
        <v>-126</v>
      </c>
      <c r="C48" s="58">
        <f t="shared" si="23"/>
        <v>-4</v>
      </c>
      <c r="D48" s="58">
        <f t="shared" si="23"/>
        <v>143</v>
      </c>
      <c r="E48" s="58">
        <f t="shared" si="23"/>
        <v>140</v>
      </c>
      <c r="F48" s="58">
        <f t="shared" si="23"/>
        <v>155</v>
      </c>
      <c r="G48" s="58">
        <f t="shared" si="23"/>
        <v>32</v>
      </c>
      <c r="H48" s="58">
        <f>I48+H37-L37</f>
        <v>309</v>
      </c>
      <c r="I48" s="51">
        <f>373-95</f>
        <v>278</v>
      </c>
      <c r="J48" s="51">
        <f>K48+(T37/3)-(U37/3)</f>
        <v>220.59887500000002</v>
      </c>
      <c r="K48" s="51">
        <v>220.59887500000002</v>
      </c>
      <c r="L48" s="33"/>
      <c r="M48" s="33"/>
      <c r="N48" s="33"/>
      <c r="O48" s="33"/>
      <c r="R48" s="98"/>
    </row>
    <row r="50" spans="1:16" s="37" customFormat="1">
      <c r="A50" s="37" t="s">
        <v>78</v>
      </c>
      <c r="B50" s="37">
        <f t="shared" ref="B50:C50" si="24">+SUM(B39:B40)/B47</f>
        <v>4.1863905325443787</v>
      </c>
      <c r="C50" s="37">
        <f t="shared" si="24"/>
        <v>3.3504273504273505</v>
      </c>
      <c r="D50" s="37">
        <f t="shared" ref="D50:E50" si="25">+SUM(D39:D40)/D47</f>
        <v>2.6870415647921759</v>
      </c>
      <c r="E50" s="37">
        <f t="shared" si="25"/>
        <v>2.2875816993464051</v>
      </c>
      <c r="F50" s="37">
        <f t="shared" ref="F50:K50" si="26">+SUM(F39:F40)/F47</f>
        <v>2.5694760820045559</v>
      </c>
      <c r="G50" s="37">
        <f t="shared" si="26"/>
        <v>2.7088036117381491</v>
      </c>
      <c r="H50" s="37">
        <f t="shared" si="26"/>
        <v>2.5583864118895967</v>
      </c>
      <c r="I50" s="37">
        <f t="shared" si="26"/>
        <v>2.4838056680161942</v>
      </c>
      <c r="J50" s="37">
        <f t="shared" si="26"/>
        <v>2.4574257425742574</v>
      </c>
      <c r="K50" s="37">
        <f t="shared" si="26"/>
        <v>2.2417153996101367</v>
      </c>
    </row>
    <row r="51" spans="1:16" s="37" customFormat="1">
      <c r="A51" s="37" t="s">
        <v>79</v>
      </c>
      <c r="B51" s="37">
        <f t="shared" ref="B51:C51" si="27">+B41/B47</f>
        <v>5.390532544378698</v>
      </c>
      <c r="C51" s="37">
        <f t="shared" si="27"/>
        <v>4.4786324786324787</v>
      </c>
      <c r="D51" s="37">
        <f t="shared" ref="D51:E51" si="28">+D41/D47</f>
        <v>3.6283618581907091</v>
      </c>
      <c r="E51" s="37">
        <f t="shared" si="28"/>
        <v>3.1437908496732025</v>
      </c>
      <c r="F51" s="37">
        <f t="shared" ref="F51:K51" si="29">+F41/F47</f>
        <v>3.4419134396355351</v>
      </c>
      <c r="G51" s="37">
        <f t="shared" si="29"/>
        <v>3.6072234762979685</v>
      </c>
      <c r="H51" s="37">
        <f t="shared" si="29"/>
        <v>3.3927813163481955</v>
      </c>
      <c r="I51" s="37">
        <f t="shared" si="29"/>
        <v>3.2955465587044532</v>
      </c>
      <c r="J51" s="37">
        <f t="shared" si="29"/>
        <v>3.2613861386138612</v>
      </c>
      <c r="K51" s="37">
        <f t="shared" si="29"/>
        <v>3.2358674463937622</v>
      </c>
    </row>
    <row r="52" spans="1:16" s="37" customFormat="1">
      <c r="A52" s="37" t="s">
        <v>80</v>
      </c>
      <c r="B52" s="37">
        <f t="shared" ref="B52:C52" si="30">+(B41-B44)/B47</f>
        <v>4.4674556213017755</v>
      </c>
      <c r="C52" s="37">
        <f t="shared" si="30"/>
        <v>4.0826210826210829</v>
      </c>
      <c r="D52" s="37">
        <f t="shared" ref="D52:E52" si="31">+(D41-D44)/D47</f>
        <v>3.0073349633251834</v>
      </c>
      <c r="E52" s="37">
        <f t="shared" si="31"/>
        <v>2.7363834422657951</v>
      </c>
      <c r="F52" s="37">
        <f t="shared" ref="F52:K52" si="32">+(F41-F44)/F47</f>
        <v>3.0091116173120729</v>
      </c>
      <c r="G52" s="37">
        <f t="shared" si="32"/>
        <v>3.1963882618510158</v>
      </c>
      <c r="H52" s="37">
        <f t="shared" si="32"/>
        <v>2.9532908704883227</v>
      </c>
      <c r="I52" s="37">
        <f t="shared" si="32"/>
        <v>2.8987854251012144</v>
      </c>
      <c r="J52" s="37">
        <f t="shared" si="32"/>
        <v>2.8712871287128712</v>
      </c>
      <c r="K52" s="37">
        <f t="shared" si="32"/>
        <v>3.0604288499025341</v>
      </c>
      <c r="M52" s="125"/>
    </row>
    <row r="53" spans="1:16" s="38" customFormat="1">
      <c r="A53" s="38" t="s">
        <v>81</v>
      </c>
      <c r="B53" s="38">
        <f t="shared" ref="B53:C53" si="33">+B48/B41</f>
        <v>-6.9154774972557634E-2</v>
      </c>
      <c r="C53" s="38">
        <f t="shared" si="33"/>
        <v>-2.5445292620865142E-3</v>
      </c>
      <c r="D53" s="38">
        <f t="shared" ref="D53:E53" si="34">+D48/D41</f>
        <v>9.6361185983827494E-2</v>
      </c>
      <c r="E53" s="38">
        <f t="shared" si="34"/>
        <v>9.7020097020097021E-2</v>
      </c>
      <c r="F53" s="38">
        <f t="shared" ref="F53:K53" si="35">+F48/F41</f>
        <v>0.10258107213765719</v>
      </c>
      <c r="G53" s="38">
        <f t="shared" si="35"/>
        <v>2.002503128911139E-2</v>
      </c>
      <c r="H53" s="38">
        <f t="shared" si="35"/>
        <v>0.19336670838548184</v>
      </c>
      <c r="I53" s="38">
        <f t="shared" si="35"/>
        <v>0.17076167076167076</v>
      </c>
      <c r="J53" s="38">
        <f t="shared" si="35"/>
        <v>0.13393981481481482</v>
      </c>
      <c r="K53" s="38">
        <f t="shared" si="35"/>
        <v>0.13289088855421688</v>
      </c>
    </row>
    <row r="54" spans="1:16" s="38" customFormat="1">
      <c r="A54" s="39" t="s">
        <v>82</v>
      </c>
      <c r="B54" s="40"/>
      <c r="C54" s="40"/>
      <c r="D54" s="40"/>
      <c r="E54" s="40"/>
      <c r="F54" s="40"/>
      <c r="G54" s="40"/>
      <c r="H54" s="40"/>
      <c r="I54" s="40"/>
      <c r="J54" s="40"/>
      <c r="K54" s="40">
        <v>6</v>
      </c>
      <c r="L54" s="40"/>
      <c r="M54" s="40"/>
      <c r="N54" s="40"/>
      <c r="O54" s="40"/>
      <c r="P54" s="39"/>
    </row>
    <row r="55" spans="1:16" s="38" customFormat="1">
      <c r="A55" s="38" t="s">
        <v>83</v>
      </c>
      <c r="B55" s="41">
        <f t="shared" ref="B55:C55" si="36">IF(B42=0,IF(B54="","","*"&amp;TEXT(B54,"0.0x")),(B41+B42-B44)/B47)</f>
        <v>5.2500032358284026</v>
      </c>
      <c r="C55" s="41">
        <f t="shared" si="36"/>
        <v>5.289348298575498</v>
      </c>
      <c r="D55" s="41">
        <f t="shared" ref="D55:E55" si="37">IF(D42=0,IF(D54="","","*"&amp;TEXT(D54,"0.0x")),(D41+D42-D44)/D47)</f>
        <v>4.0441219163325179</v>
      </c>
      <c r="E55" s="41">
        <f t="shared" si="37"/>
        <v>3.8678020109368192</v>
      </c>
      <c r="F55" s="41">
        <f t="shared" ref="F55:G55" si="38">IF(F42=0,IF(F54="","","*"&amp;TEXT(F54,"0.0x")),(F41+F42-F44)/F47)</f>
        <v>4.7050614431662874</v>
      </c>
      <c r="G55" s="41">
        <f t="shared" si="38"/>
        <v>5.5916768038374718</v>
      </c>
      <c r="H55" s="41">
        <f t="shared" ref="H55:I55" si="39">IF(H42=0,IF(H54="","","*"&amp;TEXT(H54,"0.0x")),(H41+H42-H44)/H47)</f>
        <v>5.8540921171974531</v>
      </c>
      <c r="I55" s="41">
        <f t="shared" si="39"/>
        <v>5.4325409731781376</v>
      </c>
      <c r="J55" s="41">
        <f t="shared" ref="J55:O55" si="40">IF(J42=0,IF(J54="","","*"&amp;TEXT(J54,"0.0x")),(J41+J42-J44)/J47)</f>
        <v>5.0947273835841589</v>
      </c>
      <c r="K55" s="41" t="str">
        <f t="shared" si="40"/>
        <v>*6.0x</v>
      </c>
      <c r="L55" s="41" t="str">
        <f t="shared" si="40"/>
        <v/>
      </c>
      <c r="M55" s="41" t="str">
        <f t="shared" si="40"/>
        <v/>
      </c>
      <c r="N55" s="41" t="str">
        <f t="shared" si="40"/>
        <v/>
      </c>
      <c r="O55" s="41" t="str">
        <f t="shared" si="40"/>
        <v/>
      </c>
      <c r="P55" s="41" t="str">
        <f>IF(P42=0,IF(P54="","",CONCATENATE("* ",P54,"x")),(P41+P42-P44)/P47)</f>
        <v/>
      </c>
    </row>
    <row r="56" spans="1:16">
      <c r="O56" s="42"/>
    </row>
    <row r="57" spans="1:16" ht="80.25" customHeight="1">
      <c r="A57" s="43" t="s">
        <v>84</v>
      </c>
      <c r="B57" s="44" t="s">
        <v>290</v>
      </c>
      <c r="C57" s="44" t="s">
        <v>290</v>
      </c>
      <c r="D57" s="44" t="s">
        <v>290</v>
      </c>
      <c r="E57" s="44" t="s">
        <v>301</v>
      </c>
      <c r="F57" s="44" t="s">
        <v>290</v>
      </c>
      <c r="G57" s="44" t="s">
        <v>290</v>
      </c>
      <c r="H57" s="44" t="s">
        <v>290</v>
      </c>
      <c r="I57" s="44" t="s">
        <v>301</v>
      </c>
      <c r="J57" s="44" t="s">
        <v>290</v>
      </c>
      <c r="K57" s="44" t="s">
        <v>90</v>
      </c>
      <c r="L57" s="44"/>
      <c r="M57" s="44"/>
      <c r="N57" s="44"/>
      <c r="O57" s="44"/>
      <c r="P57" s="44"/>
    </row>
    <row r="58" spans="1:16">
      <c r="A58" s="45"/>
      <c r="B58" s="42"/>
      <c r="C58" s="42"/>
      <c r="D58" s="42"/>
      <c r="E58" s="42"/>
      <c r="F58" s="42"/>
      <c r="G58" s="42"/>
      <c r="H58" s="42"/>
      <c r="I58" s="42"/>
      <c r="J58" s="42"/>
      <c r="K58" s="42"/>
    </row>
    <row r="59" spans="1:16">
      <c r="A59" s="45"/>
    </row>
  </sheetData>
  <hyperlinks>
    <hyperlink ref="W13" r:id="rId1" location="tx518068_9" xr:uid="{00000000-0004-0000-4A00-000000000000}"/>
  </hyperlinks>
  <pageMargins left="0.7" right="0.7" top="0.75" bottom="0.75" header="0.3" footer="0.3"/>
  <pageSetup orientation="portrait" r:id="rId2"/>
  <legacyDrawing r:id="rId3"/>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2:X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9" width="10.6640625" style="14" customWidth="1"/>
    <col min="20" max="16384" width="9.109375" style="14"/>
  </cols>
  <sheetData>
    <row r="2" spans="1:21">
      <c r="A2" s="13" t="s">
        <v>44</v>
      </c>
      <c r="B2" s="14" t="s">
        <v>287</v>
      </c>
    </row>
    <row r="3" spans="1:21" s="16" customFormat="1">
      <c r="A3" s="15" t="s">
        <v>45</v>
      </c>
      <c r="B3" s="16" t="s">
        <v>288</v>
      </c>
    </row>
    <row r="4" spans="1:21">
      <c r="A4" s="13" t="s">
        <v>2</v>
      </c>
      <c r="B4" s="14" t="s">
        <v>4</v>
      </c>
    </row>
    <row r="5" spans="1:21">
      <c r="A5" s="13" t="s">
        <v>46</v>
      </c>
    </row>
    <row r="6" spans="1:21">
      <c r="A6" s="13" t="s">
        <v>47</v>
      </c>
      <c r="B6" s="14">
        <v>3</v>
      </c>
    </row>
    <row r="7" spans="1:21">
      <c r="A7" s="13" t="s">
        <v>48</v>
      </c>
      <c r="B7" s="14" t="s">
        <v>448</v>
      </c>
    </row>
    <row r="8" spans="1:21">
      <c r="A8" s="13" t="s">
        <v>347</v>
      </c>
      <c r="B8" s="14" t="s">
        <v>359</v>
      </c>
    </row>
    <row r="9" spans="1:21">
      <c r="A9" s="17"/>
    </row>
    <row r="10" spans="1:21">
      <c r="A10" s="17" t="s">
        <v>49</v>
      </c>
      <c r="B10" s="18">
        <v>44377</v>
      </c>
      <c r="C10" s="18">
        <v>44286</v>
      </c>
      <c r="D10" s="18">
        <v>44196</v>
      </c>
      <c r="E10" s="18">
        <v>44104</v>
      </c>
      <c r="F10" s="18">
        <v>44012</v>
      </c>
      <c r="G10" s="18">
        <v>43921</v>
      </c>
      <c r="H10" s="18">
        <v>43830</v>
      </c>
      <c r="I10" s="18">
        <v>43738</v>
      </c>
      <c r="J10" s="18">
        <v>43646</v>
      </c>
      <c r="K10" s="18">
        <v>43555</v>
      </c>
      <c r="L10" s="18">
        <v>43465</v>
      </c>
      <c r="M10" s="18">
        <v>43373</v>
      </c>
      <c r="N10" s="18">
        <v>43281</v>
      </c>
      <c r="O10" s="18">
        <f>EOMONTH(N10,-3)</f>
        <v>43190</v>
      </c>
      <c r="P10" s="18">
        <f t="shared" ref="P10:S10" si="0">EOMONTH(O10,-3)</f>
        <v>43100</v>
      </c>
      <c r="Q10" s="18">
        <f t="shared" si="0"/>
        <v>43008</v>
      </c>
      <c r="R10" s="18">
        <f t="shared" si="0"/>
        <v>42916</v>
      </c>
      <c r="S10" s="18">
        <f t="shared" si="0"/>
        <v>42825</v>
      </c>
    </row>
    <row r="12" spans="1:21">
      <c r="A12" s="19" t="s">
        <v>50</v>
      </c>
      <c r="B12" s="20">
        <v>488.6</v>
      </c>
      <c r="C12" s="20">
        <v>472.1</v>
      </c>
      <c r="D12" s="20">
        <f>1726-E12-F12-G12</f>
        <v>453.2000000000001</v>
      </c>
      <c r="E12" s="20">
        <v>437.8</v>
      </c>
      <c r="F12" s="20">
        <v>400.8</v>
      </c>
      <c r="G12" s="20">
        <v>434.2</v>
      </c>
      <c r="H12" s="20">
        <f>1834.1-I12-J12-K12</f>
        <v>441.89999999999981</v>
      </c>
      <c r="I12" s="20">
        <v>442.9</v>
      </c>
      <c r="J12" s="20">
        <v>466.5</v>
      </c>
      <c r="K12" s="20">
        <v>482.8</v>
      </c>
      <c r="L12" s="20">
        <f>1175.342-M12-N12-O12</f>
        <v>469.15100000000018</v>
      </c>
      <c r="M12" s="20">
        <v>228.483</v>
      </c>
      <c r="N12" s="20">
        <v>237.32300000000001</v>
      </c>
      <c r="O12" s="20">
        <v>240.38499999999999</v>
      </c>
      <c r="P12" s="20">
        <f>876.737-Q12-R12-S12</f>
        <v>223.32200000000006</v>
      </c>
      <c r="Q12" s="20">
        <v>214.62299999999999</v>
      </c>
      <c r="R12" s="20">
        <v>223.357</v>
      </c>
      <c r="S12" s="20">
        <v>215.435</v>
      </c>
    </row>
    <row r="13" spans="1:21" s="21" customFormat="1">
      <c r="A13" s="21" t="s">
        <v>51</v>
      </c>
      <c r="B13" s="21">
        <f t="shared" ref="B13:O13" si="1">+B12/F12-1</f>
        <v>0.21906187624750495</v>
      </c>
      <c r="C13" s="21">
        <f t="shared" si="1"/>
        <v>8.7286964532473643E-2</v>
      </c>
      <c r="D13" s="21">
        <f t="shared" si="1"/>
        <v>2.5571396243494693E-2</v>
      </c>
      <c r="E13" s="21">
        <f t="shared" si="1"/>
        <v>-1.1515014675999025E-2</v>
      </c>
      <c r="F13" s="21">
        <f t="shared" si="1"/>
        <v>-0.1408360128617363</v>
      </c>
      <c r="G13" s="21">
        <f t="shared" si="1"/>
        <v>-0.10066280033140018</v>
      </c>
      <c r="H13" s="21">
        <f t="shared" si="1"/>
        <v>-5.8085776221302621E-2</v>
      </c>
      <c r="I13" s="21">
        <f t="shared" si="1"/>
        <v>0.93843743298188476</v>
      </c>
      <c r="J13" s="21">
        <f t="shared" si="1"/>
        <v>0.96567547182531821</v>
      </c>
      <c r="K13" s="21">
        <f t="shared" si="1"/>
        <v>1.0084447864883419</v>
      </c>
      <c r="L13" s="21">
        <f t="shared" si="1"/>
        <v>1.1007827262876031</v>
      </c>
      <c r="M13" s="21">
        <f t="shared" si="1"/>
        <v>6.4578353671321365E-2</v>
      </c>
      <c r="N13" s="21">
        <f t="shared" si="1"/>
        <v>6.2527702288265097E-2</v>
      </c>
      <c r="O13" s="21">
        <f t="shared" si="1"/>
        <v>0.11581219393320485</v>
      </c>
      <c r="U13" s="38"/>
    </row>
    <row r="14" spans="1:21" s="24" customFormat="1">
      <c r="A14" s="22" t="s">
        <v>52</v>
      </c>
      <c r="B14" s="66">
        <v>0.17199999999999999</v>
      </c>
      <c r="C14" s="66">
        <v>5.3999999999999999E-2</v>
      </c>
      <c r="D14" s="66">
        <v>3.0000000000000001E-3</v>
      </c>
      <c r="E14" s="66">
        <v>-2.4E-2</v>
      </c>
      <c r="F14" s="66">
        <v>-0.125</v>
      </c>
      <c r="G14" s="66">
        <v>-8.5999999999999993E-2</v>
      </c>
      <c r="H14" s="66">
        <v>-4.8000000000000001E-2</v>
      </c>
      <c r="I14" s="66">
        <v>-3.5999999999999997E-2</v>
      </c>
      <c r="J14" s="66">
        <v>-2.7E-2</v>
      </c>
      <c r="K14" s="23" t="s">
        <v>3</v>
      </c>
      <c r="L14" s="23" t="s">
        <v>3</v>
      </c>
      <c r="M14" s="23" t="s">
        <v>3</v>
      </c>
      <c r="N14" s="23" t="s">
        <v>3</v>
      </c>
      <c r="O14" s="23" t="s">
        <v>3</v>
      </c>
      <c r="P14" s="23"/>
      <c r="Q14" s="23"/>
      <c r="R14" s="22"/>
      <c r="S14" s="22"/>
    </row>
    <row r="16" spans="1:21" s="17" customFormat="1">
      <c r="A16" s="25" t="s">
        <v>53</v>
      </c>
      <c r="B16" s="26">
        <v>102.6</v>
      </c>
      <c r="C16" s="26">
        <v>101.6</v>
      </c>
      <c r="D16" s="26">
        <v>96.1</v>
      </c>
      <c r="E16" s="26">
        <v>101.8</v>
      </c>
      <c r="F16" s="26">
        <v>88.9</v>
      </c>
      <c r="G16" s="26">
        <v>85.9</v>
      </c>
      <c r="H16" s="26">
        <f>378.9-I16-J16-K16</f>
        <v>89.399999999999977</v>
      </c>
      <c r="I16" s="26">
        <v>89</v>
      </c>
      <c r="J16" s="26">
        <v>95.5</v>
      </c>
      <c r="K16" s="26">
        <v>105</v>
      </c>
      <c r="L16" s="26">
        <f>207.8-M16-N16-O16</f>
        <v>95.300000000000026</v>
      </c>
      <c r="M16" s="26">
        <v>35.9</v>
      </c>
      <c r="N16" s="26">
        <v>39.799999999999997</v>
      </c>
      <c r="O16" s="26">
        <v>36.799999999999997</v>
      </c>
      <c r="P16" s="26">
        <v>31.771000000000001</v>
      </c>
      <c r="Q16" s="26">
        <f>62.084+3.776+19.764+7.139+4.543-R16-S16</f>
        <v>32.631</v>
      </c>
      <c r="R16" s="26">
        <f>40.811+3.096+12.93+4.685+3.153-S16</f>
        <v>34.557999999999993</v>
      </c>
      <c r="S16" s="26">
        <f>17.662+1.898+6.461+2.345+1.751</f>
        <v>30.117000000000001</v>
      </c>
      <c r="U16" s="14"/>
    </row>
    <row r="17" spans="1:24" s="21" customFormat="1">
      <c r="A17" s="21" t="s">
        <v>54</v>
      </c>
      <c r="B17" s="21">
        <f t="shared" ref="B17:C17" si="2">+B16/B12</f>
        <v>0.20998772001637328</v>
      </c>
      <c r="C17" s="21">
        <f t="shared" si="2"/>
        <v>0.21520864223681421</v>
      </c>
      <c r="D17" s="21">
        <f t="shared" ref="D17:E17" si="3">+D16/D12</f>
        <v>0.21204766107678724</v>
      </c>
      <c r="E17" s="21">
        <f t="shared" si="3"/>
        <v>0.2325262677021471</v>
      </c>
      <c r="F17" s="21">
        <f t="shared" ref="F17:G17" si="4">+F16/F12</f>
        <v>0.22180638722554891</v>
      </c>
      <c r="G17" s="21">
        <f t="shared" si="4"/>
        <v>0.19783509903270385</v>
      </c>
      <c r="H17" s="21">
        <f t="shared" ref="H17:N17" si="5">+H16/H12</f>
        <v>0.20230821452817382</v>
      </c>
      <c r="I17" s="21">
        <f t="shared" si="5"/>
        <v>0.20094829532625877</v>
      </c>
      <c r="J17" s="21">
        <f t="shared" si="5"/>
        <v>0.20471596998928188</v>
      </c>
      <c r="K17" s="21">
        <f t="shared" si="5"/>
        <v>0.21748135874067936</v>
      </c>
      <c r="L17" s="21">
        <f t="shared" si="5"/>
        <v>0.20313289324758976</v>
      </c>
      <c r="M17" s="21">
        <f t="shared" si="5"/>
        <v>0.15712328707168585</v>
      </c>
      <c r="N17" s="21">
        <f t="shared" si="5"/>
        <v>0.16770393092957697</v>
      </c>
      <c r="O17" s="21">
        <f t="shared" ref="O17:S17" si="6">+O16/O12</f>
        <v>0.15308775505959191</v>
      </c>
      <c r="P17" s="21">
        <f t="shared" si="6"/>
        <v>0.14226542839487374</v>
      </c>
      <c r="Q17" s="21">
        <f t="shared" si="6"/>
        <v>0.15203869110020829</v>
      </c>
      <c r="R17" s="21">
        <f t="shared" si="6"/>
        <v>0.15472091763410142</v>
      </c>
      <c r="S17" s="21">
        <f t="shared" si="6"/>
        <v>0.13979622623993315</v>
      </c>
    </row>
    <row r="18" spans="1:24" s="24" customFormat="1"/>
    <row r="19" spans="1:24"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row>
    <row r="20" spans="1:24"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row>
    <row r="21" spans="1:24"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row>
    <row r="22" spans="1:24" s="17" customFormat="1">
      <c r="A22" s="17" t="s">
        <v>58</v>
      </c>
      <c r="B22" s="27">
        <f t="shared" ref="B22:C22" si="7">SUM(B16,B19:B21)</f>
        <v>102.6</v>
      </c>
      <c r="C22" s="27">
        <f t="shared" si="7"/>
        <v>101.6</v>
      </c>
      <c r="D22" s="27">
        <f t="shared" ref="D22:E22" si="8">SUM(D16,D19:D21)</f>
        <v>96.1</v>
      </c>
      <c r="E22" s="27">
        <f t="shared" si="8"/>
        <v>101.8</v>
      </c>
      <c r="F22" s="27">
        <f t="shared" ref="F22:G22" si="9">SUM(F16,F19:F21)</f>
        <v>88.9</v>
      </c>
      <c r="G22" s="27">
        <f t="shared" si="9"/>
        <v>85.9</v>
      </c>
      <c r="H22" s="27">
        <f t="shared" ref="H22:N22" si="10">SUM(H16,H19:H21)</f>
        <v>89.399999999999977</v>
      </c>
      <c r="I22" s="27">
        <f t="shared" si="10"/>
        <v>89</v>
      </c>
      <c r="J22" s="27">
        <f t="shared" si="10"/>
        <v>95.5</v>
      </c>
      <c r="K22" s="27">
        <f t="shared" si="10"/>
        <v>105</v>
      </c>
      <c r="L22" s="27">
        <f t="shared" si="10"/>
        <v>95.300000000000026</v>
      </c>
      <c r="M22" s="27">
        <f t="shared" si="10"/>
        <v>35.9</v>
      </c>
      <c r="N22" s="27">
        <f t="shared" si="10"/>
        <v>39.799999999999997</v>
      </c>
      <c r="O22" s="27">
        <f t="shared" ref="O22:S22" si="11">SUM(O16,O19:O21)</f>
        <v>36.799999999999997</v>
      </c>
      <c r="P22" s="27">
        <f t="shared" si="11"/>
        <v>31.771000000000001</v>
      </c>
      <c r="Q22" s="27">
        <f t="shared" si="11"/>
        <v>32.631</v>
      </c>
      <c r="R22" s="27">
        <f t="shared" si="11"/>
        <v>34.557999999999993</v>
      </c>
      <c r="S22" s="27">
        <f t="shared" si="11"/>
        <v>30.117000000000001</v>
      </c>
    </row>
    <row r="23" spans="1:24" s="17" customFormat="1">
      <c r="B23" s="21"/>
      <c r="C23" s="21"/>
      <c r="D23" s="21"/>
      <c r="E23" s="21"/>
      <c r="F23" s="21"/>
      <c r="G23" s="21"/>
      <c r="H23" s="21"/>
      <c r="I23" s="21"/>
      <c r="J23" s="21"/>
      <c r="K23" s="21"/>
      <c r="L23" s="21"/>
      <c r="M23" s="21"/>
      <c r="N23" s="27"/>
      <c r="O23" s="27"/>
      <c r="P23" s="27"/>
      <c r="Q23" s="27"/>
      <c r="R23" s="27"/>
      <c r="S23" s="27"/>
    </row>
    <row r="24" spans="1:24" s="17" customFormat="1">
      <c r="A24" s="17" t="s">
        <v>59</v>
      </c>
      <c r="B24" s="27">
        <f t="shared" ref="B24:P24" si="12">SUM(B22:E22)</f>
        <v>402.09999999999997</v>
      </c>
      <c r="C24" s="27">
        <f t="shared" si="12"/>
        <v>388.4</v>
      </c>
      <c r="D24" s="27">
        <f t="shared" si="12"/>
        <v>372.69999999999993</v>
      </c>
      <c r="E24" s="27">
        <f t="shared" si="12"/>
        <v>366</v>
      </c>
      <c r="F24" s="27">
        <f t="shared" si="12"/>
        <v>353.2</v>
      </c>
      <c r="G24" s="27">
        <f t="shared" si="12"/>
        <v>359.79999999999995</v>
      </c>
      <c r="H24" s="27">
        <f t="shared" si="12"/>
        <v>378.9</v>
      </c>
      <c r="I24" s="27">
        <f t="shared" si="12"/>
        <v>384.8</v>
      </c>
      <c r="J24" s="27">
        <f t="shared" si="12"/>
        <v>331.7</v>
      </c>
      <c r="K24" s="27">
        <f t="shared" si="12"/>
        <v>276</v>
      </c>
      <c r="L24" s="27">
        <f t="shared" si="12"/>
        <v>207.8</v>
      </c>
      <c r="M24" s="27">
        <f t="shared" si="12"/>
        <v>144.27099999999999</v>
      </c>
      <c r="N24" s="27">
        <f t="shared" si="12"/>
        <v>141.00200000000001</v>
      </c>
      <c r="O24" s="27">
        <f t="shared" si="12"/>
        <v>135.76</v>
      </c>
      <c r="P24" s="27">
        <f t="shared" si="12"/>
        <v>129.077</v>
      </c>
      <c r="Q24" s="27">
        <f>SUM(Q22:S22)</f>
        <v>97.305999999999997</v>
      </c>
      <c r="R24" s="27">
        <f>SUM(R22:S22)</f>
        <v>64.674999999999997</v>
      </c>
      <c r="S24" s="27"/>
    </row>
    <row r="25" spans="1:24" s="24" customFormat="1">
      <c r="A25" s="19" t="s">
        <v>60</v>
      </c>
      <c r="B25" s="28">
        <v>0</v>
      </c>
      <c r="C25" s="28">
        <f>388.3-C24</f>
        <v>-9.9999999999965894E-2</v>
      </c>
      <c r="D25" s="28">
        <f>372.6-D24</f>
        <v>-9.9999999999909051E-2</v>
      </c>
      <c r="E25" s="28">
        <v>0</v>
      </c>
      <c r="F25" s="28">
        <v>0</v>
      </c>
      <c r="G25" s="28">
        <v>0</v>
      </c>
      <c r="H25" s="28">
        <v>0</v>
      </c>
      <c r="I25" s="28">
        <v>0</v>
      </c>
      <c r="J25" s="28">
        <v>0</v>
      </c>
      <c r="K25" s="28">
        <v>0</v>
      </c>
      <c r="L25" s="28">
        <v>0</v>
      </c>
      <c r="M25" s="28">
        <v>0</v>
      </c>
      <c r="N25" s="28">
        <v>0</v>
      </c>
      <c r="O25" s="28">
        <v>0</v>
      </c>
      <c r="P25" s="28">
        <v>0</v>
      </c>
      <c r="Q25" s="28">
        <v>0</v>
      </c>
      <c r="R25" s="28">
        <v>0</v>
      </c>
      <c r="S25" s="28"/>
      <c r="W25" s="17"/>
      <c r="X25" s="17"/>
    </row>
    <row r="26" spans="1:24" s="24" customFormat="1">
      <c r="A26" s="19" t="s">
        <v>61</v>
      </c>
      <c r="B26" s="29">
        <v>0</v>
      </c>
      <c r="C26" s="29">
        <v>0</v>
      </c>
      <c r="D26" s="29">
        <v>0</v>
      </c>
      <c r="E26" s="29">
        <v>0</v>
      </c>
      <c r="F26" s="29">
        <v>0</v>
      </c>
      <c r="G26" s="29">
        <v>0</v>
      </c>
      <c r="H26" s="29">
        <v>0</v>
      </c>
      <c r="I26" s="29">
        <v>0</v>
      </c>
      <c r="J26" s="29">
        <f>390.5-J25-J24</f>
        <v>58.800000000000011</v>
      </c>
      <c r="K26" s="29">
        <f>405-K24-K25</f>
        <v>129</v>
      </c>
      <c r="L26" s="29">
        <f>405.683-L25-L24</f>
        <v>197.88299999999998</v>
      </c>
      <c r="M26" s="29">
        <v>0</v>
      </c>
      <c r="N26" s="29">
        <v>0</v>
      </c>
      <c r="O26" s="29">
        <v>0</v>
      </c>
      <c r="P26" s="29">
        <v>0</v>
      </c>
      <c r="Q26" s="29">
        <v>0</v>
      </c>
      <c r="R26" s="29">
        <v>0</v>
      </c>
      <c r="S26" s="30"/>
      <c r="W26" s="17"/>
      <c r="X26" s="17"/>
    </row>
    <row r="27" spans="1:24" s="32" customFormat="1">
      <c r="A27" s="17" t="s">
        <v>62</v>
      </c>
      <c r="B27" s="27">
        <f t="shared" ref="B27" si="13">SUM(B24:B26)</f>
        <v>402.09999999999997</v>
      </c>
      <c r="C27" s="27">
        <f t="shared" ref="C27" si="14">SUM(C24:C26)</f>
        <v>388.3</v>
      </c>
      <c r="D27" s="27">
        <f t="shared" ref="D27:E27" si="15">SUM(D24:D26)</f>
        <v>372.6</v>
      </c>
      <c r="E27" s="27">
        <f t="shared" si="15"/>
        <v>366</v>
      </c>
      <c r="F27" s="27">
        <f t="shared" ref="F27:G27" si="16">SUM(F24:F26)</f>
        <v>353.2</v>
      </c>
      <c r="G27" s="27">
        <f t="shared" si="16"/>
        <v>359.79999999999995</v>
      </c>
      <c r="H27" s="27">
        <f t="shared" ref="H27:R27" si="17">SUM(H24:H26)</f>
        <v>378.9</v>
      </c>
      <c r="I27" s="27">
        <f t="shared" si="17"/>
        <v>384.8</v>
      </c>
      <c r="J27" s="27">
        <f t="shared" si="17"/>
        <v>390.5</v>
      </c>
      <c r="K27" s="27">
        <f t="shared" si="17"/>
        <v>405</v>
      </c>
      <c r="L27" s="27">
        <f t="shared" si="17"/>
        <v>405.68299999999999</v>
      </c>
      <c r="M27" s="27">
        <f t="shared" si="17"/>
        <v>144.27099999999999</v>
      </c>
      <c r="N27" s="27">
        <f t="shared" si="17"/>
        <v>141.00200000000001</v>
      </c>
      <c r="O27" s="27">
        <f t="shared" si="17"/>
        <v>135.76</v>
      </c>
      <c r="P27" s="27">
        <f t="shared" si="17"/>
        <v>129.077</v>
      </c>
      <c r="Q27" s="27">
        <f t="shared" si="17"/>
        <v>97.305999999999997</v>
      </c>
      <c r="R27" s="27">
        <f t="shared" si="17"/>
        <v>64.674999999999997</v>
      </c>
      <c r="S27" s="31"/>
      <c r="W27" s="17"/>
      <c r="X27" s="17"/>
    </row>
    <row r="28" spans="1:24" s="24" customFormat="1">
      <c r="W28" s="17"/>
      <c r="X28" s="17"/>
    </row>
    <row r="29" spans="1:24" s="17" customFormat="1">
      <c r="A29" s="17" t="s">
        <v>58</v>
      </c>
      <c r="B29" s="27">
        <f t="shared" ref="B29:C29" si="18">B22</f>
        <v>102.6</v>
      </c>
      <c r="C29" s="27">
        <f t="shared" si="18"/>
        <v>101.6</v>
      </c>
      <c r="D29" s="27">
        <f t="shared" ref="D29:E29" si="19">D22</f>
        <v>96.1</v>
      </c>
      <c r="E29" s="27">
        <f t="shared" si="19"/>
        <v>101.8</v>
      </c>
      <c r="F29" s="27">
        <f t="shared" ref="F29:G29" si="20">F22</f>
        <v>88.9</v>
      </c>
      <c r="G29" s="27">
        <f t="shared" si="20"/>
        <v>85.9</v>
      </c>
      <c r="H29" s="27">
        <f t="shared" ref="H29:L29" si="21">H22</f>
        <v>89.399999999999977</v>
      </c>
      <c r="I29" s="27">
        <f t="shared" si="21"/>
        <v>89</v>
      </c>
      <c r="J29" s="27">
        <f t="shared" si="21"/>
        <v>95.5</v>
      </c>
      <c r="K29" s="27">
        <f t="shared" si="21"/>
        <v>105</v>
      </c>
      <c r="L29" s="27">
        <f t="shared" si="21"/>
        <v>95.300000000000026</v>
      </c>
      <c r="M29" s="27">
        <f t="shared" ref="M29:S29" si="22">M22</f>
        <v>35.9</v>
      </c>
      <c r="N29" s="27">
        <f t="shared" si="22"/>
        <v>39.799999999999997</v>
      </c>
      <c r="O29" s="27">
        <f t="shared" si="22"/>
        <v>36.799999999999997</v>
      </c>
      <c r="P29" s="27">
        <f t="shared" si="22"/>
        <v>31.771000000000001</v>
      </c>
      <c r="Q29" s="27">
        <f t="shared" si="22"/>
        <v>32.631</v>
      </c>
      <c r="R29" s="27">
        <f t="shared" si="22"/>
        <v>34.557999999999993</v>
      </c>
      <c r="S29" s="27">
        <f t="shared" si="22"/>
        <v>30.117000000000001</v>
      </c>
    </row>
    <row r="30" spans="1:24" s="33" customFormat="1">
      <c r="A30" s="20" t="s">
        <v>63</v>
      </c>
      <c r="B30" s="20">
        <f>-24.9-C30</f>
        <v>-8.2999999999999972</v>
      </c>
      <c r="C30" s="20">
        <v>-16.600000000000001</v>
      </c>
      <c r="D30" s="20">
        <f>-58.1-E30-F30-G30</f>
        <v>-19.3</v>
      </c>
      <c r="E30" s="20">
        <f>-38.8-F30-G30</f>
        <v>-7.0999999999999979</v>
      </c>
      <c r="F30" s="20">
        <f>-31.7-G30</f>
        <v>-19.2</v>
      </c>
      <c r="G30" s="20">
        <v>-12.5</v>
      </c>
      <c r="H30" s="20">
        <f>-68.8-I30-J30-K30</f>
        <v>-35</v>
      </c>
      <c r="I30" s="20">
        <f>-33.8-J30-K30</f>
        <v>1.5000000000000018</v>
      </c>
      <c r="J30" s="20">
        <f>-35.3-K30</f>
        <v>-23.9</v>
      </c>
      <c r="K30" s="20">
        <v>-11.4</v>
      </c>
      <c r="L30" s="20">
        <f>-21.2-M30-N30-O30</f>
        <v>-14.899999999999999</v>
      </c>
      <c r="M30" s="20">
        <f>-6.3-N30-O30</f>
        <v>-2.7</v>
      </c>
      <c r="N30" s="20">
        <f>-3.6-O30</f>
        <v>-1.8</v>
      </c>
      <c r="O30" s="20">
        <v>-1.8</v>
      </c>
      <c r="P30" s="20"/>
      <c r="Q30" s="20"/>
      <c r="R30" s="20"/>
      <c r="S30" s="20"/>
    </row>
    <row r="31" spans="1:24" s="33" customFormat="1">
      <c r="A31" s="20" t="s">
        <v>64</v>
      </c>
      <c r="B31" s="20">
        <f>-43.3-C31</f>
        <v>-36.9</v>
      </c>
      <c r="C31" s="20">
        <v>-6.4</v>
      </c>
      <c r="D31" s="20">
        <f>-61.7-E31-F31-G31</f>
        <v>-18.200000000000003</v>
      </c>
      <c r="E31" s="20">
        <f>-43.5-F31-G31</f>
        <v>-20.699999999999996</v>
      </c>
      <c r="F31" s="20">
        <f>-22.8-G31</f>
        <v>-13.200000000000001</v>
      </c>
      <c r="G31" s="20">
        <v>-9.6</v>
      </c>
      <c r="H31" s="20">
        <f>-45.4-I31-J31-K31</f>
        <v>-8.2999999999999954</v>
      </c>
      <c r="I31" s="20">
        <f>-37.1-J31-K31</f>
        <v>-12.700000000000001</v>
      </c>
      <c r="J31" s="20">
        <f>-24.4-K31</f>
        <v>-16.5</v>
      </c>
      <c r="K31" s="20">
        <v>-7.9</v>
      </c>
      <c r="L31" s="20">
        <f>-34.1-M31-N31-O31</f>
        <v>-22.7</v>
      </c>
      <c r="M31" s="20">
        <f>-11.4-N31-O31</f>
        <v>-3.3000000000000003</v>
      </c>
      <c r="N31" s="20">
        <f>-8.1-O31</f>
        <v>-5.5</v>
      </c>
      <c r="O31" s="20">
        <v>-2.6</v>
      </c>
      <c r="P31" s="20"/>
      <c r="Q31" s="20"/>
      <c r="R31" s="20"/>
      <c r="S31" s="20"/>
    </row>
    <row r="32" spans="1:24" s="33" customFormat="1">
      <c r="A32" s="20" t="s">
        <v>65</v>
      </c>
      <c r="B32" s="20">
        <f>-19.6-29.3+17-25.6+0.7-C32</f>
        <v>-15.300000000000004</v>
      </c>
      <c r="C32" s="20">
        <f>-21.5-15.5+5.7-10.7+0.5</f>
        <v>-41.5</v>
      </c>
      <c r="D32" s="20">
        <f>10.6+19+18.8-4.5+2.8-E32-F32-G32</f>
        <v>56</v>
      </c>
      <c r="E32" s="20">
        <f>7.9+4.3-2.7-23.2+4.4-F32-G32</f>
        <v>10.600000000000001</v>
      </c>
      <c r="F32" s="20">
        <f>10.9-3.6-10.8-14.6-1.8-G32</f>
        <v>10.599999999999998</v>
      </c>
      <c r="G32" s="20">
        <f>-4.7-11.8-0.9-10.8-2.3</f>
        <v>-30.5</v>
      </c>
      <c r="H32" s="20">
        <f>14.8+5.8-16.2+14.6-4.4-I32-J32-K32</f>
        <v>34.1</v>
      </c>
      <c r="I32" s="20">
        <f>10.2-3.7-15.3-10.3-0.4-J32-K32</f>
        <v>23.200000000000003</v>
      </c>
      <c r="J32" s="20">
        <f>-10.2-6.3-20.2-4.5-1.5-K32</f>
        <v>-8.8000000000000043</v>
      </c>
      <c r="K32" s="20">
        <f>-22.5-10.6-4.9+18.5-14.4</f>
        <v>-33.9</v>
      </c>
      <c r="L32" s="20">
        <f>1.5-14+23.4-9.4+0.3-M32-N32-O32</f>
        <v>20.999999999999996</v>
      </c>
      <c r="M32" s="20">
        <f>-7.5-13.8+7.1-4.3-0.7-N32-O32</f>
        <v>6.8000000000000007</v>
      </c>
      <c r="N32" s="20">
        <f>-13-5.5+2-3.9-5.6-O32</f>
        <v>-4.6999999999999993</v>
      </c>
      <c r="O32" s="20">
        <f>-12.9-0.5-5.9-2</f>
        <v>-21.3</v>
      </c>
      <c r="P32" s="20"/>
      <c r="Q32" s="20"/>
      <c r="R32" s="20"/>
      <c r="S32" s="20"/>
    </row>
    <row r="33" spans="1:21"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c r="Q33" s="20"/>
      <c r="R33" s="20"/>
      <c r="S33" s="20"/>
    </row>
    <row r="34" spans="1:21"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c r="Q34" s="29"/>
      <c r="R34" s="29"/>
      <c r="S34" s="29"/>
    </row>
    <row r="35" spans="1:21" s="27" customFormat="1">
      <c r="A35" s="27" t="s">
        <v>67</v>
      </c>
      <c r="B35" s="27">
        <f>100.1-C35</f>
        <v>63.899999999999991</v>
      </c>
      <c r="C35" s="27">
        <v>36.200000000000003</v>
      </c>
      <c r="D35" s="27">
        <f>262.5-E35-F35-G35</f>
        <v>100.69999999999999</v>
      </c>
      <c r="E35" s="27">
        <f>161.8-F35-G35</f>
        <v>88.1</v>
      </c>
      <c r="F35" s="27">
        <f>73.7-G35</f>
        <v>38.800000000000004</v>
      </c>
      <c r="G35" s="27">
        <v>34.9</v>
      </c>
      <c r="H35" s="27">
        <f>255.9-I35-J35-K35</f>
        <v>75.5</v>
      </c>
      <c r="I35" s="27">
        <f>180.4-J35-K35</f>
        <v>84.300000000000011</v>
      </c>
      <c r="J35" s="27">
        <f>96.1-K35</f>
        <v>56.8</v>
      </c>
      <c r="K35" s="27">
        <v>39.299999999999997</v>
      </c>
      <c r="L35" s="27">
        <f>116.283-M35-N35-O35</f>
        <v>57.304000000000009</v>
      </c>
      <c r="M35" s="27">
        <f>58.979-N35-O35</f>
        <v>29.869999999999997</v>
      </c>
      <c r="N35" s="27">
        <f>29.109-O35</f>
        <v>25.445</v>
      </c>
      <c r="O35" s="27">
        <v>3.6640000000000001</v>
      </c>
      <c r="P35" s="27">
        <f>80.581-Q35-R35-S35</f>
        <v>37.292000000000009</v>
      </c>
      <c r="Q35" s="27">
        <f>43.289-R35-S35</f>
        <v>17.333000000000002</v>
      </c>
      <c r="R35" s="27">
        <f>25.956-S35</f>
        <v>22.934000000000001</v>
      </c>
      <c r="S35" s="27">
        <v>3.0219999999999998</v>
      </c>
    </row>
    <row r="36" spans="1:21" s="33" customFormat="1">
      <c r="A36" s="20" t="s">
        <v>68</v>
      </c>
      <c r="B36" s="29">
        <f>-17.5-C36</f>
        <v>-7.9</v>
      </c>
      <c r="C36" s="29">
        <v>-9.6</v>
      </c>
      <c r="D36" s="29">
        <f>-33.7-E36-F36-G36</f>
        <v>-9.4000000000000021</v>
      </c>
      <c r="E36" s="29">
        <f>-24.3-F36-G36</f>
        <v>-7</v>
      </c>
      <c r="F36" s="29">
        <f>-17.3-G36</f>
        <v>-9.1000000000000014</v>
      </c>
      <c r="G36" s="29">
        <v>-8.1999999999999993</v>
      </c>
      <c r="H36" s="29">
        <f>-51.7-I36-J36-K36</f>
        <v>-14.800000000000004</v>
      </c>
      <c r="I36" s="29">
        <f>-36.9-J36-K36</f>
        <v>-12.799999999999997</v>
      </c>
      <c r="J36" s="29">
        <f>-24.1-K36</f>
        <v>-10.100000000000001</v>
      </c>
      <c r="K36" s="29">
        <v>-14</v>
      </c>
      <c r="L36" s="29">
        <f>-37.531-M36-N36-O36</f>
        <v>-16.401999999999994</v>
      </c>
      <c r="M36" s="29">
        <f>-21.129-N36-O36</f>
        <v>-6.1930000000000014</v>
      </c>
      <c r="N36" s="29">
        <f>-14.936-O36</f>
        <v>-7.9610000000000003</v>
      </c>
      <c r="O36" s="29">
        <v>-6.9749999999999996</v>
      </c>
      <c r="P36" s="29">
        <f>-32.826-Q36-R36-S36</f>
        <v>-9.5650000000000031</v>
      </c>
      <c r="Q36" s="29">
        <f>-23.261-R36-S36</f>
        <v>-8.8449999999999971</v>
      </c>
      <c r="R36" s="29">
        <f>-14.416-S36</f>
        <v>-7.0830000000000002</v>
      </c>
      <c r="S36" s="29">
        <v>-7.3330000000000002</v>
      </c>
    </row>
    <row r="37" spans="1:21" s="27" customFormat="1">
      <c r="A37" s="27" t="s">
        <v>69</v>
      </c>
      <c r="B37" s="27">
        <f t="shared" ref="B37:N37" si="23">+B35+B36</f>
        <v>55.999999999999993</v>
      </c>
      <c r="C37" s="27">
        <f t="shared" si="23"/>
        <v>26.6</v>
      </c>
      <c r="D37" s="27">
        <f t="shared" si="23"/>
        <v>91.299999999999983</v>
      </c>
      <c r="E37" s="27">
        <f t="shared" si="23"/>
        <v>81.099999999999994</v>
      </c>
      <c r="F37" s="27">
        <f t="shared" si="23"/>
        <v>29.700000000000003</v>
      </c>
      <c r="G37" s="27">
        <f t="shared" si="23"/>
        <v>26.7</v>
      </c>
      <c r="H37" s="27">
        <f t="shared" si="23"/>
        <v>60.699999999999996</v>
      </c>
      <c r="I37" s="27">
        <f t="shared" si="23"/>
        <v>71.500000000000014</v>
      </c>
      <c r="J37" s="27">
        <f t="shared" si="23"/>
        <v>46.699999999999996</v>
      </c>
      <c r="K37" s="27">
        <f t="shared" si="23"/>
        <v>25.299999999999997</v>
      </c>
      <c r="L37" s="27">
        <f t="shared" si="23"/>
        <v>40.902000000000015</v>
      </c>
      <c r="M37" s="27">
        <f t="shared" si="23"/>
        <v>23.676999999999996</v>
      </c>
      <c r="N37" s="27">
        <f t="shared" si="23"/>
        <v>17.484000000000002</v>
      </c>
      <c r="O37" s="27">
        <f t="shared" ref="O37:S37" si="24">+O35+O36</f>
        <v>-3.3109999999999995</v>
      </c>
      <c r="P37" s="27">
        <f t="shared" si="24"/>
        <v>27.727000000000004</v>
      </c>
      <c r="Q37" s="27">
        <f t="shared" si="24"/>
        <v>8.4880000000000049</v>
      </c>
      <c r="R37" s="27">
        <f t="shared" si="24"/>
        <v>15.851000000000001</v>
      </c>
      <c r="S37" s="27">
        <f t="shared" si="24"/>
        <v>-4.3109999999999999</v>
      </c>
    </row>
    <row r="39" spans="1:21" s="35" customFormat="1">
      <c r="A39" s="34" t="s">
        <v>70</v>
      </c>
      <c r="B39" s="20">
        <v>0</v>
      </c>
      <c r="C39" s="20">
        <v>0</v>
      </c>
      <c r="D39" s="20">
        <v>0</v>
      </c>
      <c r="E39" s="20">
        <v>0</v>
      </c>
      <c r="F39" s="20">
        <v>0</v>
      </c>
      <c r="G39" s="20">
        <v>100</v>
      </c>
      <c r="H39" s="20">
        <v>0</v>
      </c>
      <c r="I39" s="20">
        <v>0</v>
      </c>
      <c r="J39" s="20">
        <v>0</v>
      </c>
      <c r="K39" s="20">
        <v>0</v>
      </c>
      <c r="L39" s="20">
        <v>0</v>
      </c>
      <c r="M39" s="20">
        <v>0</v>
      </c>
      <c r="N39" s="20">
        <v>0</v>
      </c>
      <c r="O39" s="20">
        <v>266.58100000000002</v>
      </c>
      <c r="P39" s="20">
        <v>262.91500000000002</v>
      </c>
      <c r="Q39" s="20"/>
      <c r="R39" s="20"/>
      <c r="S39" s="20"/>
      <c r="U39" s="33"/>
    </row>
    <row r="40" spans="1:21" s="35" customFormat="1">
      <c r="A40" s="34" t="s">
        <v>71</v>
      </c>
      <c r="B40" s="20">
        <f>980+13.6+0.2</f>
        <v>993.80000000000007</v>
      </c>
      <c r="C40" s="20">
        <f>1010+12.2+0.2</f>
        <v>1022.4000000000001</v>
      </c>
      <c r="D40" s="20">
        <f>1030+12.9+0.3</f>
        <v>1043.2</v>
      </c>
      <c r="E40" s="20">
        <f>1100+12.4+0.3</f>
        <v>1112.7</v>
      </c>
      <c r="F40" s="20">
        <f>1160+12.6+0.3</f>
        <v>1172.8999999999999</v>
      </c>
      <c r="G40" s="20">
        <f>1184+12.6+0.4</f>
        <v>1197</v>
      </c>
      <c r="H40" s="20">
        <f>1190+13.5+0.5</f>
        <v>1204</v>
      </c>
      <c r="I40" s="20">
        <f>1230+14.1+0.5</f>
        <v>1244.5999999999999</v>
      </c>
      <c r="J40" s="20">
        <f>1270+15.2+0.5</f>
        <v>1285.7</v>
      </c>
      <c r="K40" s="20">
        <f>1305+14.3+0.5</f>
        <v>1319.8</v>
      </c>
      <c r="L40" s="20">
        <f>1320+13.47+0.557</f>
        <v>1334.027</v>
      </c>
      <c r="M40" s="20">
        <f>1340+12</f>
        <v>1352</v>
      </c>
      <c r="N40" s="20">
        <f>1340+12</f>
        <v>1352</v>
      </c>
      <c r="O40" s="20">
        <f>12.946+0.185</f>
        <v>13.131</v>
      </c>
      <c r="P40" s="20">
        <f>12.833+0.223</f>
        <v>13.056000000000001</v>
      </c>
      <c r="Q40" s="20"/>
      <c r="R40" s="20"/>
      <c r="S40" s="20"/>
      <c r="T40" s="89"/>
      <c r="U40" s="33"/>
    </row>
    <row r="41" spans="1:21" s="35" customFormat="1">
      <c r="A41" s="34" t="s">
        <v>72</v>
      </c>
      <c r="B41" s="20">
        <f>+B39+B40+400</f>
        <v>1393.8000000000002</v>
      </c>
      <c r="C41" s="20">
        <f t="shared" ref="C41:H41" si="25">C39+C40+400</f>
        <v>1422.4</v>
      </c>
      <c r="D41" s="20">
        <f t="shared" si="25"/>
        <v>1443.2</v>
      </c>
      <c r="E41" s="20">
        <f t="shared" si="25"/>
        <v>1512.7</v>
      </c>
      <c r="F41" s="20">
        <f t="shared" si="25"/>
        <v>1572.8999999999999</v>
      </c>
      <c r="G41" s="20">
        <f t="shared" si="25"/>
        <v>1697</v>
      </c>
      <c r="H41" s="20">
        <f t="shared" si="25"/>
        <v>1604</v>
      </c>
      <c r="I41" s="20">
        <f t="shared" ref="I41:N41" si="26">I39+I40+400</f>
        <v>1644.6</v>
      </c>
      <c r="J41" s="20">
        <f t="shared" si="26"/>
        <v>1685.7</v>
      </c>
      <c r="K41" s="20">
        <f t="shared" si="26"/>
        <v>1719.8</v>
      </c>
      <c r="L41" s="20">
        <f t="shared" si="26"/>
        <v>1734.027</v>
      </c>
      <c r="M41" s="20">
        <f t="shared" si="26"/>
        <v>1752</v>
      </c>
      <c r="N41" s="20">
        <f t="shared" si="26"/>
        <v>1752</v>
      </c>
      <c r="O41" s="20">
        <f>O39+O40</f>
        <v>279.71199999999999</v>
      </c>
      <c r="P41" s="20">
        <f>P39+P40</f>
        <v>275.971</v>
      </c>
      <c r="Q41" s="20"/>
      <c r="R41" s="20"/>
      <c r="S41" s="20"/>
      <c r="U41" s="33"/>
    </row>
    <row r="42" spans="1:21" s="35" customFormat="1">
      <c r="A42" s="34" t="s">
        <v>73</v>
      </c>
      <c r="B42" s="36">
        <f>64.867141*60.83</f>
        <v>3945.8681870300002</v>
      </c>
      <c r="C42" s="36">
        <f>64790562/1000000*59.01</f>
        <v>3823.2910636199995</v>
      </c>
      <c r="D42" s="36">
        <f>64807253/1000000*58.13</f>
        <v>3767.2456168900003</v>
      </c>
      <c r="E42" s="36">
        <f>64714022/1000000*43.64</f>
        <v>2824.1199200800002</v>
      </c>
      <c r="F42" s="36">
        <f>64655978/1000000*34.55</f>
        <v>2233.8640399000001</v>
      </c>
      <c r="G42" s="36">
        <v>1650</v>
      </c>
      <c r="H42" s="36">
        <v>1924.9</v>
      </c>
      <c r="I42" s="36">
        <v>1867.5</v>
      </c>
      <c r="J42" s="36">
        <v>1884.4</v>
      </c>
      <c r="K42" s="36">
        <v>1872.4</v>
      </c>
      <c r="L42" s="36">
        <f>64558880/1000000*33.58</f>
        <v>2167.8871903999998</v>
      </c>
      <c r="M42" s="36">
        <v>0</v>
      </c>
      <c r="N42" s="36">
        <v>0</v>
      </c>
      <c r="O42" s="36">
        <f>29383365/1000000*42.75</f>
        <v>1256.13885375</v>
      </c>
      <c r="P42" s="36">
        <f>29315963/1000000*44.05</f>
        <v>1291.36817015</v>
      </c>
      <c r="Q42" s="36"/>
      <c r="R42" s="36"/>
      <c r="S42" s="36"/>
      <c r="U42" s="33"/>
    </row>
    <row r="43" spans="1:21">
      <c r="B43" s="33"/>
      <c r="C43" s="33"/>
      <c r="D43" s="33"/>
      <c r="E43" s="33"/>
      <c r="F43" s="33"/>
      <c r="G43" s="33"/>
      <c r="H43" s="33"/>
      <c r="I43" s="33"/>
      <c r="J43" s="33"/>
      <c r="K43" s="33"/>
      <c r="L43" s="35"/>
      <c r="M43" s="35"/>
      <c r="N43" s="35"/>
      <c r="O43" s="35"/>
      <c r="P43" s="35"/>
    </row>
    <row r="44" spans="1:21">
      <c r="A44" s="19" t="s">
        <v>74</v>
      </c>
      <c r="B44" s="28">
        <v>277.8</v>
      </c>
      <c r="C44" s="28">
        <v>249.4</v>
      </c>
      <c r="D44" s="28">
        <v>254.4</v>
      </c>
      <c r="E44" s="28">
        <v>238.7</v>
      </c>
      <c r="F44" s="28">
        <v>220.1</v>
      </c>
      <c r="G44" s="28">
        <v>326.89999999999998</v>
      </c>
      <c r="H44" s="28">
        <v>167.3</v>
      </c>
      <c r="I44" s="28">
        <v>168</v>
      </c>
      <c r="J44" s="28">
        <v>153.6</v>
      </c>
      <c r="K44" s="28">
        <v>152.4</v>
      </c>
      <c r="L44" s="28">
        <v>168.95699999999999</v>
      </c>
      <c r="M44" s="28">
        <v>38</v>
      </c>
      <c r="N44" s="28">
        <v>38</v>
      </c>
      <c r="O44" s="28">
        <v>46.396000000000001</v>
      </c>
      <c r="P44" s="28">
        <v>51.994</v>
      </c>
      <c r="Q44" s="28"/>
      <c r="R44" s="28"/>
      <c r="S44" s="57"/>
    </row>
    <row r="45" spans="1:21">
      <c r="T45" s="79"/>
    </row>
    <row r="46" spans="1:21">
      <c r="A46" s="14" t="s">
        <v>75</v>
      </c>
      <c r="B46" s="58">
        <f t="shared" ref="B46:I46" si="27">SUM(B12:E12)</f>
        <v>1851.7</v>
      </c>
      <c r="C46" s="58">
        <f t="shared" si="27"/>
        <v>1763.9</v>
      </c>
      <c r="D46" s="58">
        <f t="shared" si="27"/>
        <v>1726.0000000000002</v>
      </c>
      <c r="E46" s="58">
        <f t="shared" si="27"/>
        <v>1714.6999999999998</v>
      </c>
      <c r="F46" s="58">
        <f t="shared" si="27"/>
        <v>1719.7999999999997</v>
      </c>
      <c r="G46" s="58">
        <f t="shared" si="27"/>
        <v>1785.4999999999998</v>
      </c>
      <c r="H46" s="58">
        <f t="shared" si="27"/>
        <v>1834.0999999999997</v>
      </c>
      <c r="I46" s="58">
        <f t="shared" si="27"/>
        <v>1861.3510000000001</v>
      </c>
      <c r="J46" s="58">
        <f>(J12+K12+L12)/3*4</f>
        <v>1891.268</v>
      </c>
      <c r="K46" s="58">
        <f>(K12+L12)*2</f>
        <v>1903.9020000000005</v>
      </c>
      <c r="L46" s="58">
        <f>M46</f>
        <v>1880</v>
      </c>
      <c r="M46" s="51">
        <v>1880</v>
      </c>
      <c r="N46" s="51">
        <v>1880</v>
      </c>
      <c r="O46" s="33">
        <f>SUM(O12:R12)</f>
        <v>901.68700000000001</v>
      </c>
      <c r="P46" s="33">
        <f>SUM(P12:S12)</f>
        <v>876.73700000000008</v>
      </c>
      <c r="Q46" s="33"/>
      <c r="R46" s="33"/>
      <c r="T46" s="58"/>
    </row>
    <row r="47" spans="1:21">
      <c r="A47" s="14" t="s">
        <v>76</v>
      </c>
      <c r="B47" s="58">
        <f t="shared" ref="B47" si="28">B27</f>
        <v>402.09999999999997</v>
      </c>
      <c r="C47" s="58">
        <f t="shared" ref="C47:D47" si="29">C27</f>
        <v>388.3</v>
      </c>
      <c r="D47" s="58">
        <f t="shared" si="29"/>
        <v>372.6</v>
      </c>
      <c r="E47" s="58">
        <f t="shared" ref="E47:F47" si="30">E27</f>
        <v>366</v>
      </c>
      <c r="F47" s="58">
        <f t="shared" si="30"/>
        <v>353.2</v>
      </c>
      <c r="G47" s="58">
        <f t="shared" ref="G47:L47" si="31">G27</f>
        <v>359.79999999999995</v>
      </c>
      <c r="H47" s="58">
        <f t="shared" si="31"/>
        <v>378.9</v>
      </c>
      <c r="I47" s="58">
        <f t="shared" si="31"/>
        <v>384.8</v>
      </c>
      <c r="J47" s="58">
        <f t="shared" si="31"/>
        <v>390.5</v>
      </c>
      <c r="K47" s="58">
        <f t="shared" si="31"/>
        <v>405</v>
      </c>
      <c r="L47" s="58">
        <f t="shared" si="31"/>
        <v>405.68299999999999</v>
      </c>
      <c r="M47" s="51">
        <v>414.5</v>
      </c>
      <c r="N47" s="51">
        <v>414.5</v>
      </c>
      <c r="O47" s="33">
        <f>+O27</f>
        <v>135.76</v>
      </c>
      <c r="P47" s="33">
        <f>+P27</f>
        <v>129.077</v>
      </c>
      <c r="Q47" s="33"/>
      <c r="R47" s="33"/>
      <c r="T47" s="58"/>
    </row>
    <row r="48" spans="1:21">
      <c r="A48" s="14" t="s">
        <v>77</v>
      </c>
      <c r="B48" s="58">
        <f t="shared" ref="B48:I48" si="32">SUM(B37:E37)</f>
        <v>254.99999999999997</v>
      </c>
      <c r="C48" s="58">
        <f t="shared" si="32"/>
        <v>228.7</v>
      </c>
      <c r="D48" s="58">
        <f t="shared" si="32"/>
        <v>228.79999999999995</v>
      </c>
      <c r="E48" s="58">
        <f t="shared" si="32"/>
        <v>198.2</v>
      </c>
      <c r="F48" s="58">
        <f t="shared" si="32"/>
        <v>188.60000000000002</v>
      </c>
      <c r="G48" s="58">
        <f t="shared" si="32"/>
        <v>205.6</v>
      </c>
      <c r="H48" s="58">
        <f t="shared" si="32"/>
        <v>204.2</v>
      </c>
      <c r="I48" s="58">
        <f t="shared" si="32"/>
        <v>184.40200000000002</v>
      </c>
      <c r="J48" s="58">
        <f>K48+J37-N37</f>
        <v>279.88560000000001</v>
      </c>
      <c r="K48" s="58">
        <f>L48+K37-O37</f>
        <v>250.66959999999997</v>
      </c>
      <c r="L48" s="58">
        <f>M48+L37-P37</f>
        <v>222.05859999999998</v>
      </c>
      <c r="M48" s="51">
        <v>208.88359999999997</v>
      </c>
      <c r="N48" s="51">
        <v>208.88359999999997</v>
      </c>
      <c r="O48" s="33">
        <f>+SUM(O37:R37)</f>
        <v>48.75500000000001</v>
      </c>
      <c r="P48" s="33">
        <f>+SUM(P37:S37)</f>
        <v>47.75500000000001</v>
      </c>
      <c r="Q48" s="33"/>
      <c r="R48" s="33"/>
      <c r="T48" s="58"/>
    </row>
    <row r="49" spans="1:20">
      <c r="T49" s="79"/>
    </row>
    <row r="50" spans="1:20" s="37" customFormat="1">
      <c r="A50" s="37" t="s">
        <v>78</v>
      </c>
      <c r="B50" s="37">
        <f t="shared" ref="B50" si="33">+SUM(B39:B40)/B47</f>
        <v>2.4715244963939322</v>
      </c>
      <c r="C50" s="37">
        <f t="shared" ref="C50:D50" si="34">+SUM(C39:C40)/C47</f>
        <v>2.6330157095029616</v>
      </c>
      <c r="D50" s="37">
        <f t="shared" si="34"/>
        <v>2.7997852925389157</v>
      </c>
      <c r="E50" s="37">
        <f t="shared" ref="E50:F50" si="35">+SUM(E39:E40)/E47</f>
        <v>3.0401639344262295</v>
      </c>
      <c r="F50" s="37">
        <f t="shared" si="35"/>
        <v>3.3207814269535669</v>
      </c>
      <c r="G50" s="37">
        <f t="shared" ref="G50:H50" si="36">+SUM(G39:G40)/G47</f>
        <v>3.6047804335742084</v>
      </c>
      <c r="H50" s="37">
        <f t="shared" si="36"/>
        <v>3.1776194246503038</v>
      </c>
      <c r="I50" s="37">
        <f t="shared" ref="I50:J50" si="37">+SUM(I39:I40)/I47</f>
        <v>3.2344074844074839</v>
      </c>
      <c r="J50" s="37">
        <f t="shared" si="37"/>
        <v>3.2924455825864278</v>
      </c>
      <c r="K50" s="37">
        <f t="shared" ref="K50:P50" si="38">+SUM(K39:K40)/K47</f>
        <v>3.2587654320987651</v>
      </c>
      <c r="L50" s="37">
        <f t="shared" si="38"/>
        <v>3.2883482916464333</v>
      </c>
      <c r="M50" s="37">
        <f t="shared" si="38"/>
        <v>3.261761158021713</v>
      </c>
      <c r="N50" s="37">
        <f t="shared" si="38"/>
        <v>3.261761158021713</v>
      </c>
      <c r="O50" s="37">
        <f t="shared" si="38"/>
        <v>2.0603417796110786</v>
      </c>
      <c r="P50" s="37">
        <f t="shared" si="38"/>
        <v>2.1380338867497697</v>
      </c>
      <c r="T50" s="95"/>
    </row>
    <row r="51" spans="1:20" s="37" customFormat="1">
      <c r="A51" s="37" t="s">
        <v>79</v>
      </c>
      <c r="B51" s="37">
        <f t="shared" ref="B51" si="39">+B41/B47</f>
        <v>3.4663019149465315</v>
      </c>
      <c r="C51" s="37">
        <f t="shared" ref="C51:D51" si="40">+C41/C47</f>
        <v>3.6631470512490343</v>
      </c>
      <c r="D51" s="37">
        <f t="shared" si="40"/>
        <v>3.873322597960279</v>
      </c>
      <c r="E51" s="37">
        <f t="shared" ref="E51:F51" si="41">+E41/E47</f>
        <v>4.1330601092896178</v>
      </c>
      <c r="F51" s="37">
        <f t="shared" si="41"/>
        <v>4.4532842582106449</v>
      </c>
      <c r="G51" s="37">
        <f t="shared" ref="G51:H51" si="42">+G41/G47</f>
        <v>4.7165091717620911</v>
      </c>
      <c r="H51" s="37">
        <f t="shared" si="42"/>
        <v>4.2333069411454209</v>
      </c>
      <c r="I51" s="37">
        <f t="shared" ref="I51:J51" si="43">+I41/I47</f>
        <v>4.2739085239085233</v>
      </c>
      <c r="J51" s="37">
        <f t="shared" si="43"/>
        <v>4.3167733674775928</v>
      </c>
      <c r="K51" s="37">
        <f t="shared" ref="K51:P51" si="44">+K41/K47</f>
        <v>4.2464197530864194</v>
      </c>
      <c r="L51" s="37">
        <f t="shared" si="44"/>
        <v>4.274339817049273</v>
      </c>
      <c r="M51" s="37">
        <f t="shared" si="44"/>
        <v>4.226779252110977</v>
      </c>
      <c r="N51" s="37">
        <f t="shared" si="44"/>
        <v>4.226779252110977</v>
      </c>
      <c r="O51" s="37">
        <f t="shared" si="44"/>
        <v>2.0603417796110786</v>
      </c>
      <c r="P51" s="37">
        <f t="shared" si="44"/>
        <v>2.1380338867497697</v>
      </c>
      <c r="T51" s="95"/>
    </row>
    <row r="52" spans="1:20" s="37" customFormat="1">
      <c r="A52" s="37" t="s">
        <v>80</v>
      </c>
      <c r="B52" s="37">
        <f t="shared" ref="B52" si="45">+(B41-B44)/B47</f>
        <v>2.7754289977617517</v>
      </c>
      <c r="C52" s="37">
        <f t="shared" ref="C52:D52" si="46">+(C41-C44)/C47</f>
        <v>3.0208601596703577</v>
      </c>
      <c r="D52" s="37">
        <f t="shared" si="46"/>
        <v>3.1905528717122915</v>
      </c>
      <c r="E52" s="37">
        <f t="shared" ref="E52:F52" si="47">+(E41-E44)/E47</f>
        <v>3.4808743169398908</v>
      </c>
      <c r="F52" s="37">
        <f t="shared" si="47"/>
        <v>3.8301245753114381</v>
      </c>
      <c r="G52" s="37">
        <f t="shared" ref="G52:H52" si="48">+(G41-G44)/G47</f>
        <v>3.8079488604780436</v>
      </c>
      <c r="H52" s="37">
        <f t="shared" si="48"/>
        <v>3.7917656373713386</v>
      </c>
      <c r="I52" s="37">
        <f t="shared" ref="I52:J52" si="49">+(I41-I44)/I47</f>
        <v>3.8373180873180868</v>
      </c>
      <c r="J52" s="37">
        <f t="shared" si="49"/>
        <v>3.9234314980793856</v>
      </c>
      <c r="K52" s="37">
        <f t="shared" ref="K52:P52" si="50">+(K41-K44)/K47</f>
        <v>3.870123456790123</v>
      </c>
      <c r="L52" s="37">
        <f t="shared" si="50"/>
        <v>3.8578643916555544</v>
      </c>
      <c r="M52" s="37">
        <f t="shared" si="50"/>
        <v>4.1351025331724971</v>
      </c>
      <c r="N52" s="37">
        <f t="shared" si="50"/>
        <v>4.1351025331724971</v>
      </c>
      <c r="O52" s="37">
        <f t="shared" si="50"/>
        <v>1.7185916322922805</v>
      </c>
      <c r="P52" s="37">
        <f t="shared" si="50"/>
        <v>1.7352200624433478</v>
      </c>
      <c r="T52" s="95"/>
    </row>
    <row r="53" spans="1:20" s="38" customFormat="1">
      <c r="A53" s="38" t="s">
        <v>81</v>
      </c>
      <c r="B53" s="38">
        <f t="shared" ref="B53" si="51">+B48/B41</f>
        <v>0.18295307791648727</v>
      </c>
      <c r="C53" s="38">
        <f t="shared" ref="C53:D53" si="52">+C48/C41</f>
        <v>0.16078458942632168</v>
      </c>
      <c r="D53" s="38">
        <f t="shared" si="52"/>
        <v>0.15853658536585363</v>
      </c>
      <c r="E53" s="38">
        <f t="shared" ref="E53:F53" si="53">+E48/E41</f>
        <v>0.13102399682686586</v>
      </c>
      <c r="F53" s="38">
        <f t="shared" si="53"/>
        <v>0.11990590628774878</v>
      </c>
      <c r="G53" s="38">
        <f t="shared" ref="G53:H53" si="54">+G48/G41</f>
        <v>0.12115497937536829</v>
      </c>
      <c r="H53" s="38">
        <f t="shared" si="54"/>
        <v>0.1273067331670823</v>
      </c>
      <c r="I53" s="38">
        <f t="shared" ref="I53:J53" si="55">+I48/I41</f>
        <v>0.11212574486197253</v>
      </c>
      <c r="J53" s="38">
        <f t="shared" si="55"/>
        <v>0.1660352375867592</v>
      </c>
      <c r="K53" s="38">
        <f t="shared" ref="K53:P53" si="56">+K48/K41</f>
        <v>0.14575508780090707</v>
      </c>
      <c r="L53" s="38">
        <f t="shared" si="56"/>
        <v>0.12805948234946743</v>
      </c>
      <c r="M53" s="38">
        <f t="shared" si="56"/>
        <v>0.11922579908675797</v>
      </c>
      <c r="N53" s="38">
        <f t="shared" si="56"/>
        <v>0.11922579908675797</v>
      </c>
      <c r="O53" s="38">
        <f t="shared" si="56"/>
        <v>0.17430428440681847</v>
      </c>
      <c r="P53" s="38">
        <f t="shared" si="56"/>
        <v>0.17304354443039308</v>
      </c>
      <c r="T53" s="96"/>
    </row>
    <row r="54" spans="1:20" s="38" customFormat="1">
      <c r="A54" s="39" t="s">
        <v>82</v>
      </c>
      <c r="B54" s="40"/>
      <c r="C54" s="40"/>
      <c r="D54" s="40"/>
      <c r="E54" s="40"/>
      <c r="F54" s="40"/>
      <c r="G54" s="40"/>
      <c r="H54" s="40"/>
      <c r="I54" s="40"/>
      <c r="J54" s="40"/>
      <c r="K54" s="40"/>
      <c r="L54" s="40"/>
      <c r="M54" s="40">
        <v>10</v>
      </c>
      <c r="N54" s="40">
        <v>10</v>
      </c>
      <c r="O54" s="40"/>
      <c r="P54" s="40"/>
      <c r="Q54" s="40"/>
      <c r="R54" s="40"/>
      <c r="S54" s="39"/>
      <c r="T54" s="95"/>
    </row>
    <row r="55" spans="1:20" s="38" customFormat="1">
      <c r="A55" s="38" t="s">
        <v>83</v>
      </c>
      <c r="B55" s="41">
        <f t="shared" ref="B55" si="57">IF(B42=0,IF(B54="","","*"&amp;TEXT(B54,"0.0x")),(B41+B42-B44)/B47)</f>
        <v>12.588580420368068</v>
      </c>
      <c r="C55" s="41">
        <f t="shared" ref="C55:D55" si="58">IF(C42=0,IF(C54="","","*"&amp;TEXT(C54,"0.0x")),(C41+C42-C44)/C47)</f>
        <v>12.867090042801955</v>
      </c>
      <c r="D55" s="41">
        <f t="shared" si="58"/>
        <v>13.301249642753625</v>
      </c>
      <c r="E55" s="41">
        <f t="shared" ref="E55:F55" si="59">IF(E42=0,IF(E54="","","*"&amp;TEXT(E54,"0.0x")),(E41+E42-E44)/E47)</f>
        <v>11.197048961967214</v>
      </c>
      <c r="F55" s="41">
        <f t="shared" si="59"/>
        <v>10.15476794988675</v>
      </c>
      <c r="G55" s="41">
        <f t="shared" ref="G55:H55" si="60">IF(G42=0,IF(G54="","","*"&amp;TEXT(G54,"0.0x")),(G41+G42-G44)/G47)</f>
        <v>8.3938299055030576</v>
      </c>
      <c r="H55" s="41">
        <f t="shared" si="60"/>
        <v>8.8719978886249677</v>
      </c>
      <c r="I55" s="41">
        <f t="shared" ref="I55:J55" si="61">IF(I42=0,IF(I54="","","*"&amp;TEXT(I54,"0.0x")),(I41+I42-I44)/I47)</f>
        <v>8.6904885654885646</v>
      </c>
      <c r="J55" s="41">
        <f t="shared" si="61"/>
        <v>8.7490396927016665</v>
      </c>
      <c r="K55" s="41">
        <f t="shared" ref="K55:P55" si="62">IF(K42=0,IF(K54="","","*"&amp;TEXT(K54,"0.0x")),(K41+K42-K44)/K47)</f>
        <v>8.4933333333333323</v>
      </c>
      <c r="L55" s="41">
        <f t="shared" si="62"/>
        <v>9.2016603860649813</v>
      </c>
      <c r="M55" s="41" t="str">
        <f t="shared" si="62"/>
        <v>*10.0x</v>
      </c>
      <c r="N55" s="41" t="str">
        <f t="shared" si="62"/>
        <v>*10.0x</v>
      </c>
      <c r="O55" s="41">
        <f t="shared" si="62"/>
        <v>10.971234927445492</v>
      </c>
      <c r="P55" s="41">
        <f t="shared" si="62"/>
        <v>11.739854274192924</v>
      </c>
      <c r="Q55" s="41"/>
      <c r="R55" s="41"/>
      <c r="S55" s="41" t="str">
        <f>IF(S42=0,IF(S54="","",CONCATENATE("* ",S54,"x")),(S41+S42-S44)/S47)</f>
        <v/>
      </c>
      <c r="T55" s="97"/>
    </row>
    <row r="56" spans="1:20">
      <c r="R56" s="42"/>
    </row>
    <row r="57" spans="1:20" ht="80.25" customHeight="1">
      <c r="A57" s="43" t="s">
        <v>84</v>
      </c>
      <c r="B57" s="44" t="s">
        <v>290</v>
      </c>
      <c r="C57" s="44" t="s">
        <v>290</v>
      </c>
      <c r="D57" s="44" t="s">
        <v>290</v>
      </c>
      <c r="E57" s="44" t="s">
        <v>290</v>
      </c>
      <c r="F57" s="44" t="s">
        <v>290</v>
      </c>
      <c r="G57" s="44" t="s">
        <v>290</v>
      </c>
      <c r="H57" s="44"/>
      <c r="I57" s="44" t="s">
        <v>290</v>
      </c>
      <c r="J57" s="44" t="s">
        <v>472</v>
      </c>
      <c r="K57" s="44" t="s">
        <v>432</v>
      </c>
      <c r="L57" s="44"/>
      <c r="M57" s="44" t="s">
        <v>305</v>
      </c>
      <c r="N57" s="44" t="s">
        <v>305</v>
      </c>
      <c r="O57" s="44"/>
      <c r="P57" s="44"/>
      <c r="Q57" s="44"/>
      <c r="R57" s="44"/>
      <c r="S57" s="44"/>
    </row>
    <row r="58" spans="1:20">
      <c r="A58" s="45"/>
      <c r="B58" s="42"/>
      <c r="C58" s="42"/>
      <c r="D58" s="42"/>
      <c r="E58" s="42"/>
      <c r="F58" s="42"/>
      <c r="G58" s="42"/>
      <c r="H58" s="42"/>
      <c r="I58" s="42"/>
      <c r="J58" s="42"/>
      <c r="K58" s="42"/>
      <c r="L58" s="42"/>
      <c r="M58" s="42"/>
      <c r="N58" s="42"/>
    </row>
    <row r="59" spans="1:20">
      <c r="A59" s="45"/>
    </row>
  </sheetData>
  <pageMargins left="0.7" right="0.7" top="0.75" bottom="0.75" header="0.3" footer="0.3"/>
  <pageSetup orientation="portrait" r:id="rId1"/>
  <legacyDrawing r:id="rId2"/>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2:S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5" width="10.6640625" style="14" customWidth="1"/>
    <col min="16" max="16384" width="9.109375" style="14"/>
  </cols>
  <sheetData>
    <row r="2" spans="1:17" ht="15" customHeight="1">
      <c r="A2" s="13" t="s">
        <v>44</v>
      </c>
      <c r="B2" s="14" t="s">
        <v>302</v>
      </c>
    </row>
    <row r="3" spans="1:17" s="16" customFormat="1">
      <c r="A3" s="15" t="s">
        <v>45</v>
      </c>
      <c r="B3" s="16" t="s">
        <v>300</v>
      </c>
    </row>
    <row r="4" spans="1:17">
      <c r="A4" s="13" t="s">
        <v>2</v>
      </c>
      <c r="B4" s="14" t="s">
        <v>4</v>
      </c>
    </row>
    <row r="5" spans="1:17">
      <c r="A5" s="13" t="s">
        <v>46</v>
      </c>
    </row>
    <row r="6" spans="1:17">
      <c r="A6" s="13" t="s">
        <v>47</v>
      </c>
      <c r="B6" s="14">
        <v>2</v>
      </c>
    </row>
    <row r="7" spans="1:17">
      <c r="A7" s="13" t="s">
        <v>48</v>
      </c>
      <c r="B7" s="14" t="s">
        <v>243</v>
      </c>
    </row>
    <row r="8" spans="1:17">
      <c r="A8" s="13" t="s">
        <v>347</v>
      </c>
      <c r="B8" s="14" t="s">
        <v>358</v>
      </c>
    </row>
    <row r="9" spans="1:17">
      <c r="A9" s="17"/>
    </row>
    <row r="10" spans="1:17">
      <c r="A10" s="17" t="s">
        <v>49</v>
      </c>
      <c r="B10" s="18">
        <v>44012</v>
      </c>
      <c r="C10" s="18">
        <v>43921</v>
      </c>
      <c r="D10" s="18">
        <v>43830</v>
      </c>
      <c r="E10" s="18">
        <v>43738</v>
      </c>
      <c r="F10" s="18">
        <v>43646</v>
      </c>
      <c r="G10" s="18">
        <v>43555</v>
      </c>
      <c r="H10" s="18">
        <v>43465</v>
      </c>
      <c r="I10" s="18">
        <v>43373</v>
      </c>
      <c r="J10" s="18">
        <f>EOMONTH(I10,-3)</f>
        <v>43281</v>
      </c>
      <c r="K10" s="18">
        <f t="shared" ref="K10:O10" si="0">EOMONTH(J10,-3)</f>
        <v>43190</v>
      </c>
      <c r="L10" s="18">
        <f t="shared" si="0"/>
        <v>43100</v>
      </c>
      <c r="M10" s="18">
        <f t="shared" si="0"/>
        <v>43008</v>
      </c>
      <c r="N10" s="18">
        <f t="shared" si="0"/>
        <v>42916</v>
      </c>
      <c r="O10" s="18">
        <f t="shared" si="0"/>
        <v>42825</v>
      </c>
    </row>
    <row r="12" spans="1:17">
      <c r="A12" s="19" t="s">
        <v>50</v>
      </c>
      <c r="B12" s="20">
        <v>1939</v>
      </c>
      <c r="C12" s="20">
        <v>2125</v>
      </c>
      <c r="D12" s="20">
        <f>9351-E12-F12-G12</f>
        <v>2456</v>
      </c>
      <c r="E12" s="20">
        <v>2488</v>
      </c>
      <c r="F12" s="20">
        <v>2290</v>
      </c>
      <c r="G12" s="20">
        <v>2117</v>
      </c>
      <c r="H12" s="20">
        <f>8047-I12-J12-K12</f>
        <v>2306</v>
      </c>
      <c r="I12" s="20">
        <v>2116</v>
      </c>
      <c r="J12" s="20">
        <v>1891</v>
      </c>
      <c r="K12" s="20">
        <v>1734</v>
      </c>
      <c r="L12" s="20">
        <f>6641-M12-N12-O12</f>
        <v>1922</v>
      </c>
      <c r="M12" s="20">
        <v>1766</v>
      </c>
      <c r="N12" s="20">
        <v>1597</v>
      </c>
      <c r="O12" s="20">
        <v>1356</v>
      </c>
    </row>
    <row r="13" spans="1:17" s="21" customFormat="1">
      <c r="A13" s="21" t="s">
        <v>51</v>
      </c>
      <c r="B13" s="21">
        <f t="shared" ref="B13:K13" si="1">+B12/F12-1</f>
        <v>-0.15327510917030562</v>
      </c>
      <c r="C13" s="21">
        <f t="shared" si="1"/>
        <v>3.7789324515824507E-3</v>
      </c>
      <c r="D13" s="21">
        <f t="shared" si="1"/>
        <v>6.5047701647875211E-2</v>
      </c>
      <c r="E13" s="21">
        <f t="shared" si="1"/>
        <v>0.17580340264650274</v>
      </c>
      <c r="F13" s="21">
        <f t="shared" si="1"/>
        <v>0.2109994711792702</v>
      </c>
      <c r="G13" s="21">
        <f t="shared" si="1"/>
        <v>0.22087658592848913</v>
      </c>
      <c r="H13" s="21">
        <f t="shared" si="1"/>
        <v>0.19979188345473475</v>
      </c>
      <c r="I13" s="21">
        <f t="shared" si="1"/>
        <v>0.19818799546998878</v>
      </c>
      <c r="J13" s="21">
        <f t="shared" si="1"/>
        <v>0.18409517845961187</v>
      </c>
      <c r="K13" s="21">
        <f t="shared" si="1"/>
        <v>0.27876106194690276</v>
      </c>
    </row>
    <row r="14" spans="1:17" s="24" customFormat="1">
      <c r="A14" s="22" t="s">
        <v>52</v>
      </c>
      <c r="B14" s="23" t="s">
        <v>3</v>
      </c>
      <c r="C14" s="23" t="s">
        <v>3</v>
      </c>
      <c r="D14" s="23" t="s">
        <v>3</v>
      </c>
      <c r="E14" s="23" t="s">
        <v>3</v>
      </c>
      <c r="F14" s="23" t="s">
        <v>3</v>
      </c>
      <c r="G14" s="23" t="s">
        <v>3</v>
      </c>
      <c r="H14" s="23" t="s">
        <v>3</v>
      </c>
      <c r="I14" s="23" t="s">
        <v>3</v>
      </c>
      <c r="J14" s="23" t="s">
        <v>3</v>
      </c>
      <c r="K14" s="23" t="s">
        <v>3</v>
      </c>
      <c r="L14" s="23"/>
      <c r="M14" s="22"/>
      <c r="N14" s="22"/>
      <c r="O14" s="22"/>
    </row>
    <row r="16" spans="1:17" s="17" customFormat="1">
      <c r="A16" s="25" t="s">
        <v>53</v>
      </c>
      <c r="B16" s="26">
        <f>871+15</f>
        <v>886</v>
      </c>
      <c r="C16" s="26">
        <f>888+13</f>
        <v>901</v>
      </c>
      <c r="D16" s="26">
        <f>4200+61-E16-F16-G16</f>
        <v>1135</v>
      </c>
      <c r="E16" s="26">
        <f>1176+14</f>
        <v>1190</v>
      </c>
      <c r="F16" s="26">
        <f>1035+16</f>
        <v>1051</v>
      </c>
      <c r="G16" s="26">
        <f>870+15</f>
        <v>885</v>
      </c>
      <c r="H16" s="26">
        <f>3628+102-I16-K16-J16</f>
        <v>1066</v>
      </c>
      <c r="I16" s="26">
        <f>996+30</f>
        <v>1026</v>
      </c>
      <c r="J16" s="26">
        <f>861+24</f>
        <v>885</v>
      </c>
      <c r="K16" s="26">
        <f>734+19</f>
        <v>753</v>
      </c>
      <c r="L16" s="26">
        <f>2895+87-M16-N16-O16</f>
        <v>875</v>
      </c>
      <c r="M16" s="26">
        <f>806+24</f>
        <v>830</v>
      </c>
      <c r="N16" s="26">
        <f>672+24</f>
        <v>696</v>
      </c>
      <c r="O16" s="26">
        <f>565+16</f>
        <v>581</v>
      </c>
      <c r="Q16" s="14"/>
    </row>
    <row r="17" spans="1:15" s="21" customFormat="1">
      <c r="A17" s="21" t="s">
        <v>54</v>
      </c>
      <c r="B17" s="21">
        <f t="shared" ref="B17:I17" si="2">+B16/B12</f>
        <v>0.45693656523981435</v>
      </c>
      <c r="C17" s="21">
        <f t="shared" si="2"/>
        <v>0.42399999999999999</v>
      </c>
      <c r="D17" s="21">
        <f t="shared" si="2"/>
        <v>0.46213355048859933</v>
      </c>
      <c r="E17" s="21">
        <f t="shared" si="2"/>
        <v>0.47829581993569131</v>
      </c>
      <c r="F17" s="21">
        <f t="shared" si="2"/>
        <v>0.45895196506550218</v>
      </c>
      <c r="G17" s="21">
        <f t="shared" si="2"/>
        <v>0.41804440245630609</v>
      </c>
      <c r="H17" s="21">
        <f t="shared" si="2"/>
        <v>0.46227233304423243</v>
      </c>
      <c r="I17" s="21">
        <f t="shared" si="2"/>
        <v>0.48487712665406429</v>
      </c>
      <c r="J17" s="21">
        <f t="shared" ref="J17:O17" si="3">+J16/J12</f>
        <v>0.46800634584875728</v>
      </c>
      <c r="K17" s="21">
        <f t="shared" si="3"/>
        <v>0.43425605536332179</v>
      </c>
      <c r="L17" s="21">
        <f t="shared" si="3"/>
        <v>0.45525494276795003</v>
      </c>
      <c r="M17" s="21">
        <f t="shared" si="3"/>
        <v>0.46998867497168745</v>
      </c>
      <c r="N17" s="21">
        <f t="shared" si="3"/>
        <v>0.43581715716969316</v>
      </c>
      <c r="O17" s="21">
        <f t="shared" si="3"/>
        <v>0.42846607669616521</v>
      </c>
    </row>
    <row r="18" spans="1:15" s="24" customFormat="1"/>
    <row r="19" spans="1:15" s="24" customFormat="1">
      <c r="A19" s="19" t="s">
        <v>55</v>
      </c>
      <c r="B19" s="20">
        <v>0</v>
      </c>
      <c r="C19" s="20">
        <v>0</v>
      </c>
      <c r="D19" s="20">
        <f>1-E19-F19-G19</f>
        <v>0</v>
      </c>
      <c r="E19" s="20">
        <v>0</v>
      </c>
      <c r="F19" s="20">
        <v>0</v>
      </c>
      <c r="G19" s="20">
        <v>1</v>
      </c>
      <c r="H19" s="20">
        <f>36-I19-J19-K19</f>
        <v>22</v>
      </c>
      <c r="I19" s="20">
        <v>11</v>
      </c>
      <c r="J19" s="20">
        <v>2</v>
      </c>
      <c r="K19" s="20">
        <v>1</v>
      </c>
      <c r="L19" s="20">
        <f>50-M19-N19-O19</f>
        <v>18</v>
      </c>
      <c r="M19" s="20">
        <v>16</v>
      </c>
      <c r="N19" s="20">
        <v>14</v>
      </c>
      <c r="O19" s="20">
        <v>2</v>
      </c>
    </row>
    <row r="20" spans="1:15" s="24" customFormat="1">
      <c r="A20" s="19" t="s">
        <v>56</v>
      </c>
      <c r="B20" s="20">
        <v>3</v>
      </c>
      <c r="C20" s="20">
        <v>2</v>
      </c>
      <c r="D20" s="20">
        <f>18-E20-F20-G20</f>
        <v>2</v>
      </c>
      <c r="E20" s="20">
        <v>2</v>
      </c>
      <c r="F20" s="20">
        <v>6</v>
      </c>
      <c r="G20" s="20">
        <v>8</v>
      </c>
      <c r="H20" s="20">
        <f>31-I20-J20-K20</f>
        <v>16</v>
      </c>
      <c r="I20" s="20">
        <v>9</v>
      </c>
      <c r="J20" s="20">
        <v>4</v>
      </c>
      <c r="K20" s="20">
        <v>2</v>
      </c>
      <c r="L20" s="20">
        <f>50-M20-N20-O20</f>
        <v>22</v>
      </c>
      <c r="M20" s="20">
        <v>9</v>
      </c>
      <c r="N20" s="20">
        <v>19</v>
      </c>
      <c r="O20" s="20">
        <v>0</v>
      </c>
    </row>
    <row r="21" spans="1:15" s="24" customFormat="1">
      <c r="A21" s="19" t="s">
        <v>57</v>
      </c>
      <c r="B21" s="20">
        <v>10</v>
      </c>
      <c r="C21" s="20">
        <v>12</v>
      </c>
      <c r="D21" s="20">
        <f>75-E21-F21-G21</f>
        <v>17</v>
      </c>
      <c r="E21" s="20">
        <v>15</v>
      </c>
      <c r="F21" s="20">
        <v>16</v>
      </c>
      <c r="G21" s="20">
        <v>27</v>
      </c>
      <c r="H21" s="20">
        <f>66-I21-J21-K21</f>
        <v>13</v>
      </c>
      <c r="I21" s="20">
        <v>13</v>
      </c>
      <c r="J21" s="20">
        <v>16</v>
      </c>
      <c r="K21" s="20">
        <v>24</v>
      </c>
      <c r="L21" s="20">
        <f>82-M21-N21-O21</f>
        <v>32</v>
      </c>
      <c r="M21" s="20">
        <v>24</v>
      </c>
      <c r="N21" s="20">
        <v>18</v>
      </c>
      <c r="O21" s="20">
        <v>8</v>
      </c>
    </row>
    <row r="22" spans="1:15" s="17" customFormat="1">
      <c r="A22" s="17" t="s">
        <v>58</v>
      </c>
      <c r="B22" s="27">
        <f t="shared" ref="B22:I22" si="4">SUM(B16,B19:B21)</f>
        <v>899</v>
      </c>
      <c r="C22" s="27">
        <f t="shared" si="4"/>
        <v>915</v>
      </c>
      <c r="D22" s="27">
        <f t="shared" si="4"/>
        <v>1154</v>
      </c>
      <c r="E22" s="27">
        <f t="shared" si="4"/>
        <v>1207</v>
      </c>
      <c r="F22" s="27">
        <f t="shared" si="4"/>
        <v>1073</v>
      </c>
      <c r="G22" s="27">
        <f t="shared" si="4"/>
        <v>921</v>
      </c>
      <c r="H22" s="27">
        <f t="shared" si="4"/>
        <v>1117</v>
      </c>
      <c r="I22" s="27">
        <f t="shared" si="4"/>
        <v>1059</v>
      </c>
      <c r="J22" s="27">
        <f t="shared" ref="J22:O22" si="5">SUM(J16,J19:J21)</f>
        <v>907</v>
      </c>
      <c r="K22" s="27">
        <f t="shared" si="5"/>
        <v>780</v>
      </c>
      <c r="L22" s="27">
        <f t="shared" si="5"/>
        <v>947</v>
      </c>
      <c r="M22" s="27">
        <f t="shared" si="5"/>
        <v>879</v>
      </c>
      <c r="N22" s="27">
        <f t="shared" si="5"/>
        <v>747</v>
      </c>
      <c r="O22" s="27">
        <f t="shared" si="5"/>
        <v>591</v>
      </c>
    </row>
    <row r="23" spans="1:15" s="17" customFormat="1">
      <c r="B23" s="21"/>
      <c r="C23" s="21"/>
      <c r="D23" s="21"/>
      <c r="E23" s="21"/>
      <c r="F23" s="21"/>
      <c r="G23" s="21"/>
      <c r="H23" s="21"/>
      <c r="I23" s="21"/>
      <c r="J23" s="27"/>
      <c r="K23" s="27"/>
      <c r="L23" s="27"/>
      <c r="M23" s="27"/>
      <c r="N23" s="27"/>
      <c r="O23" s="27"/>
    </row>
    <row r="24" spans="1:15" s="17" customFormat="1">
      <c r="A24" s="17" t="s">
        <v>59</v>
      </c>
      <c r="B24" s="27">
        <f t="shared" ref="B24:L24" si="6">SUM(B22:E22)</f>
        <v>4175</v>
      </c>
      <c r="C24" s="27">
        <f t="shared" si="6"/>
        <v>4349</v>
      </c>
      <c r="D24" s="27">
        <f t="shared" si="6"/>
        <v>4355</v>
      </c>
      <c r="E24" s="27">
        <f t="shared" si="6"/>
        <v>4318</v>
      </c>
      <c r="F24" s="27">
        <f t="shared" si="6"/>
        <v>4170</v>
      </c>
      <c r="G24" s="27">
        <f t="shared" si="6"/>
        <v>4004</v>
      </c>
      <c r="H24" s="27">
        <f t="shared" si="6"/>
        <v>3863</v>
      </c>
      <c r="I24" s="27">
        <f t="shared" si="6"/>
        <v>3693</v>
      </c>
      <c r="J24" s="27">
        <f t="shared" si="6"/>
        <v>3513</v>
      </c>
      <c r="K24" s="27">
        <f t="shared" si="6"/>
        <v>3353</v>
      </c>
      <c r="L24" s="27">
        <f t="shared" si="6"/>
        <v>3164</v>
      </c>
      <c r="M24" s="27"/>
      <c r="N24" s="27"/>
      <c r="O24" s="27"/>
    </row>
    <row r="25" spans="1:15" s="24" customFormat="1">
      <c r="A25" s="19" t="s">
        <v>60</v>
      </c>
      <c r="B25" s="28">
        <v>0</v>
      </c>
      <c r="C25" s="28">
        <v>0</v>
      </c>
      <c r="D25" s="28">
        <v>0</v>
      </c>
      <c r="E25" s="28">
        <v>0</v>
      </c>
      <c r="F25" s="28">
        <v>0</v>
      </c>
      <c r="G25" s="28">
        <v>0</v>
      </c>
      <c r="H25" s="28">
        <v>0</v>
      </c>
      <c r="I25" s="28">
        <v>0</v>
      </c>
      <c r="J25" s="28">
        <v>0</v>
      </c>
      <c r="K25" s="28">
        <v>0</v>
      </c>
      <c r="L25" s="28">
        <v>0</v>
      </c>
      <c r="M25" s="28"/>
      <c r="N25" s="28"/>
      <c r="O25" s="28"/>
    </row>
    <row r="26" spans="1:15" s="24" customFormat="1">
      <c r="A26" s="19" t="s">
        <v>61</v>
      </c>
      <c r="B26" s="29">
        <v>0</v>
      </c>
      <c r="C26" s="29">
        <v>0</v>
      </c>
      <c r="D26" s="29">
        <v>0</v>
      </c>
      <c r="E26" s="29">
        <v>0</v>
      </c>
      <c r="F26" s="29">
        <v>0</v>
      </c>
      <c r="G26" s="29">
        <v>0</v>
      </c>
      <c r="H26" s="29">
        <v>0</v>
      </c>
      <c r="I26" s="29">
        <v>0</v>
      </c>
      <c r="J26" s="29">
        <v>0</v>
      </c>
      <c r="K26" s="29">
        <v>0</v>
      </c>
      <c r="L26" s="29">
        <v>0</v>
      </c>
      <c r="M26" s="29"/>
      <c r="N26" s="30"/>
      <c r="O26" s="30"/>
    </row>
    <row r="27" spans="1:15" s="32" customFormat="1">
      <c r="A27" s="17" t="s">
        <v>62</v>
      </c>
      <c r="B27" s="27">
        <f t="shared" ref="B27" si="7">SUM(B24:B26)</f>
        <v>4175</v>
      </c>
      <c r="C27" s="27">
        <f t="shared" ref="C27:D27" si="8">SUM(C24:C26)</f>
        <v>4349</v>
      </c>
      <c r="D27" s="27">
        <f t="shared" si="8"/>
        <v>4355</v>
      </c>
      <c r="E27" s="27">
        <f t="shared" ref="E27:F27" si="9">SUM(E24:E26)</f>
        <v>4318</v>
      </c>
      <c r="F27" s="27">
        <f t="shared" si="9"/>
        <v>4170</v>
      </c>
      <c r="G27" s="27">
        <f t="shared" ref="G27:L27" si="10">SUM(G24:G26)</f>
        <v>4004</v>
      </c>
      <c r="H27" s="27">
        <f t="shared" si="10"/>
        <v>3863</v>
      </c>
      <c r="I27" s="27">
        <f t="shared" si="10"/>
        <v>3693</v>
      </c>
      <c r="J27" s="27">
        <f t="shared" si="10"/>
        <v>3513</v>
      </c>
      <c r="K27" s="27">
        <f t="shared" si="10"/>
        <v>3353</v>
      </c>
      <c r="L27" s="27">
        <f t="shared" si="10"/>
        <v>3164</v>
      </c>
      <c r="M27" s="27"/>
      <c r="N27" s="31"/>
      <c r="O27" s="31"/>
    </row>
    <row r="28" spans="1:15" s="24" customFormat="1"/>
    <row r="29" spans="1:15" s="17" customFormat="1">
      <c r="A29" s="17" t="s">
        <v>58</v>
      </c>
      <c r="B29" s="27">
        <f t="shared" ref="B29:F29" si="11">B22</f>
        <v>899</v>
      </c>
      <c r="C29" s="27">
        <f t="shared" si="11"/>
        <v>915</v>
      </c>
      <c r="D29" s="27">
        <f t="shared" si="11"/>
        <v>1154</v>
      </c>
      <c r="E29" s="27">
        <f t="shared" si="11"/>
        <v>1207</v>
      </c>
      <c r="F29" s="27">
        <f t="shared" si="11"/>
        <v>1073</v>
      </c>
      <c r="G29" s="27">
        <f t="shared" ref="G29:O29" si="12">G22</f>
        <v>921</v>
      </c>
      <c r="H29" s="27">
        <f t="shared" si="12"/>
        <v>1117</v>
      </c>
      <c r="I29" s="27">
        <f t="shared" si="12"/>
        <v>1059</v>
      </c>
      <c r="J29" s="27">
        <f t="shared" si="12"/>
        <v>907</v>
      </c>
      <c r="K29" s="27">
        <f t="shared" si="12"/>
        <v>780</v>
      </c>
      <c r="L29" s="27">
        <f t="shared" si="12"/>
        <v>947</v>
      </c>
      <c r="M29" s="27">
        <f t="shared" si="12"/>
        <v>879</v>
      </c>
      <c r="N29" s="27">
        <f t="shared" si="12"/>
        <v>747</v>
      </c>
      <c r="O29" s="27">
        <f t="shared" si="12"/>
        <v>591</v>
      </c>
    </row>
    <row r="30" spans="1:15" s="33" customFormat="1">
      <c r="A30" s="20" t="s">
        <v>63</v>
      </c>
      <c r="B30" s="20">
        <f>-259-C30</f>
        <v>-85</v>
      </c>
      <c r="C30" s="20">
        <v>-174</v>
      </c>
      <c r="D30" s="20">
        <f>-581-E30-F30-G30</f>
        <v>-101</v>
      </c>
      <c r="E30" s="20">
        <f>-480-F30-G30</f>
        <v>-179</v>
      </c>
      <c r="F30" s="20">
        <f>-301-G30</f>
        <v>-122</v>
      </c>
      <c r="G30" s="20">
        <v>-179</v>
      </c>
      <c r="H30" s="20">
        <f>-455-I30-J30-K30</f>
        <v>-76</v>
      </c>
      <c r="I30" s="20">
        <f>-379-J30-K30</f>
        <v>-166</v>
      </c>
      <c r="J30" s="20">
        <f>-213-K30</f>
        <v>-60</v>
      </c>
      <c r="K30" s="20">
        <v>-153</v>
      </c>
      <c r="L30" s="20">
        <f>-357-M30-N30-O30</f>
        <v>-52</v>
      </c>
      <c r="M30" s="20">
        <f>-305-N30-O30</f>
        <v>-128</v>
      </c>
      <c r="N30" s="20">
        <f>-177-O30</f>
        <v>-87</v>
      </c>
      <c r="O30" s="20">
        <v>-90</v>
      </c>
    </row>
    <row r="31" spans="1:15" s="33" customFormat="1">
      <c r="A31" s="20" t="s">
        <v>64</v>
      </c>
      <c r="B31" s="20">
        <f>-21-C31</f>
        <v>-18</v>
      </c>
      <c r="C31" s="20">
        <v>-3</v>
      </c>
      <c r="D31" s="20">
        <f>-238-E31-F31-G31</f>
        <v>-142</v>
      </c>
      <c r="E31" s="20">
        <f>-96-F31-G31</f>
        <v>-23</v>
      </c>
      <c r="F31" s="20">
        <f>-73-G31</f>
        <v>-69</v>
      </c>
      <c r="G31" s="20">
        <v>-4</v>
      </c>
      <c r="H31" s="20">
        <f>-71-I31-J31-K31</f>
        <v>-21</v>
      </c>
      <c r="I31" s="20">
        <f>-50-J31-K31</f>
        <v>-11</v>
      </c>
      <c r="J31" s="20">
        <f>-39-K31</f>
        <v>-29</v>
      </c>
      <c r="K31" s="20">
        <v>-10</v>
      </c>
      <c r="L31" s="20">
        <f>-205-M31-N31-O31</f>
        <v>-91</v>
      </c>
      <c r="M31" s="20">
        <f>-114-N31-O31</f>
        <v>-55</v>
      </c>
      <c r="N31" s="20">
        <f>-59-O31</f>
        <v>-58</v>
      </c>
      <c r="O31" s="20">
        <v>-1</v>
      </c>
    </row>
    <row r="32" spans="1:15" s="33" customFormat="1">
      <c r="A32" s="20" t="s">
        <v>65</v>
      </c>
      <c r="B32" s="20">
        <f>297+12-2-135+80-C32</f>
        <v>237</v>
      </c>
      <c r="C32" s="20">
        <f>105+5-30+33-98</f>
        <v>15</v>
      </c>
      <c r="D32" s="20">
        <f>39-8-59-86-91-E32-F32-G32</f>
        <v>-452</v>
      </c>
      <c r="E32" s="20">
        <f>-30-17-21+301+14-F32-G32</f>
        <v>77</v>
      </c>
      <c r="F32" s="20">
        <f>39-25-23+211-32-G32</f>
        <v>150</v>
      </c>
      <c r="G32" s="20">
        <f>73-9+12+18-74</f>
        <v>20</v>
      </c>
      <c r="H32" s="20">
        <f>-115-20+75+49-35-I32-J32-K32</f>
        <v>-99</v>
      </c>
      <c r="I32" s="20">
        <f>-131-23+31+238-62-J32-K32</f>
        <v>-365</v>
      </c>
      <c r="J32" s="20">
        <f>29-19+25+451-68-K32</f>
        <v>337</v>
      </c>
      <c r="K32" s="20">
        <f>80-9+42+103-135</f>
        <v>81</v>
      </c>
      <c r="L32" s="20">
        <f>-184+1-20+141+70-M32-N32-O32</f>
        <v>-203</v>
      </c>
      <c r="M32" s="20">
        <f>-172-9-1+350+43-N32-O32</f>
        <v>-206</v>
      </c>
      <c r="N32" s="20">
        <f>-16-5-7+429+16-O32</f>
        <v>196</v>
      </c>
      <c r="O32" s="20">
        <f>65-6+9+139+14</f>
        <v>221</v>
      </c>
    </row>
    <row r="33" spans="1:19" s="33" customFormat="1">
      <c r="A33" s="20" t="s">
        <v>66</v>
      </c>
      <c r="B33" s="20">
        <f t="shared" ref="B33" si="13">-(B19+B20+B21)</f>
        <v>-13</v>
      </c>
      <c r="C33" s="20">
        <f t="shared" ref="C33:H33" si="14">-(C19+C20+C21)</f>
        <v>-14</v>
      </c>
      <c r="D33" s="20">
        <f t="shared" si="14"/>
        <v>-19</v>
      </c>
      <c r="E33" s="20">
        <f t="shared" si="14"/>
        <v>-17</v>
      </c>
      <c r="F33" s="20">
        <f t="shared" si="14"/>
        <v>-22</v>
      </c>
      <c r="G33" s="20">
        <f t="shared" si="14"/>
        <v>-36</v>
      </c>
      <c r="H33" s="20">
        <f t="shared" si="14"/>
        <v>-51</v>
      </c>
      <c r="I33" s="20">
        <f t="shared" ref="I33:O33" si="15">-(I19+I20+I21)</f>
        <v>-33</v>
      </c>
      <c r="J33" s="20">
        <f t="shared" si="15"/>
        <v>-22</v>
      </c>
      <c r="K33" s="20">
        <f t="shared" si="15"/>
        <v>-27</v>
      </c>
      <c r="L33" s="20">
        <f t="shared" si="15"/>
        <v>-72</v>
      </c>
      <c r="M33" s="20">
        <f t="shared" si="15"/>
        <v>-49</v>
      </c>
      <c r="N33" s="20">
        <f t="shared" si="15"/>
        <v>-51</v>
      </c>
      <c r="O33" s="20">
        <f t="shared" si="15"/>
        <v>-10</v>
      </c>
    </row>
    <row r="34" spans="1:19" s="33" customFormat="1">
      <c r="A34" s="20" t="s">
        <v>57</v>
      </c>
      <c r="B34" s="29">
        <v>0</v>
      </c>
      <c r="C34" s="29">
        <v>0</v>
      </c>
      <c r="D34" s="29">
        <v>0</v>
      </c>
      <c r="E34" s="29">
        <v>0</v>
      </c>
      <c r="F34" s="29">
        <v>0</v>
      </c>
      <c r="G34" s="29">
        <v>0</v>
      </c>
      <c r="H34" s="29">
        <v>0</v>
      </c>
      <c r="I34" s="29">
        <v>0</v>
      </c>
      <c r="J34" s="29">
        <v>0</v>
      </c>
      <c r="K34" s="29">
        <v>0</v>
      </c>
      <c r="L34" s="29">
        <v>0</v>
      </c>
      <c r="M34" s="29">
        <v>0</v>
      </c>
      <c r="N34" s="29">
        <v>0</v>
      </c>
      <c r="O34" s="29">
        <v>0</v>
      </c>
    </row>
    <row r="35" spans="1:19" s="27" customFormat="1">
      <c r="A35" s="27" t="s">
        <v>67</v>
      </c>
      <c r="B35" s="27">
        <f>1461-C35</f>
        <v>817</v>
      </c>
      <c r="C35" s="27">
        <v>644</v>
      </c>
      <c r="D35" s="27">
        <f>3024-E35-F35-G35</f>
        <v>442</v>
      </c>
      <c r="E35" s="27">
        <f>2582-F35-G35</f>
        <v>992</v>
      </c>
      <c r="F35" s="27">
        <f>1590-G35</f>
        <v>923</v>
      </c>
      <c r="G35" s="27">
        <v>667</v>
      </c>
      <c r="H35" s="27">
        <f>2853-I35-J35-K35</f>
        <v>730</v>
      </c>
      <c r="I35" s="27">
        <f>2123-J35-K35</f>
        <v>474</v>
      </c>
      <c r="J35" s="27">
        <f>1649-K35</f>
        <v>1007</v>
      </c>
      <c r="K35" s="27">
        <f>642</f>
        <v>642</v>
      </c>
      <c r="L35" s="27">
        <f>2209-M35-N35-O35</f>
        <v>453</v>
      </c>
      <c r="M35" s="27">
        <f>1756-N35-O35</f>
        <v>427</v>
      </c>
      <c r="N35" s="27">
        <f>1329-O35</f>
        <v>707</v>
      </c>
      <c r="O35" s="27">
        <v>622</v>
      </c>
      <c r="R35" s="33"/>
      <c r="S35" s="33"/>
    </row>
    <row r="36" spans="1:19" s="33" customFormat="1">
      <c r="A36" s="20" t="s">
        <v>68</v>
      </c>
      <c r="B36" s="29">
        <f>-353-102-C36</f>
        <v>-194</v>
      </c>
      <c r="C36" s="29">
        <f>-208-53</f>
        <v>-261</v>
      </c>
      <c r="D36" s="29">
        <f>-2132-218-E36-F36-G36</f>
        <v>-219</v>
      </c>
      <c r="E36" s="29">
        <f>-1974-157-F36-G36</f>
        <v>-905</v>
      </c>
      <c r="F36" s="29">
        <f>-1129-97-G36</f>
        <v>-927</v>
      </c>
      <c r="G36" s="29">
        <f>-257-42</f>
        <v>-299</v>
      </c>
      <c r="H36" s="29">
        <f>-2106-185-I36-J36-K36</f>
        <v>-195</v>
      </c>
      <c r="I36" s="29">
        <f>-1962-134-J36-K36</f>
        <v>-790</v>
      </c>
      <c r="J36" s="29">
        <f>-1226-80-K36</f>
        <v>-993</v>
      </c>
      <c r="K36" s="29">
        <f>-280-33</f>
        <v>-313</v>
      </c>
      <c r="L36" s="29">
        <f>-1769-120-M36-N36-O36</f>
        <v>-317</v>
      </c>
      <c r="M36" s="29">
        <f>-1485-87-N36-O36</f>
        <v>-604</v>
      </c>
      <c r="N36" s="29">
        <f>-913-55-O36</f>
        <v>-727</v>
      </c>
      <c r="O36" s="29">
        <f>-219-22</f>
        <v>-241</v>
      </c>
    </row>
    <row r="37" spans="1:19" s="27" customFormat="1">
      <c r="A37" s="27" t="s">
        <v>69</v>
      </c>
      <c r="B37" s="27">
        <f t="shared" ref="B37:I37" si="16">+B35+B36</f>
        <v>623</v>
      </c>
      <c r="C37" s="27">
        <f t="shared" si="16"/>
        <v>383</v>
      </c>
      <c r="D37" s="27">
        <f t="shared" si="16"/>
        <v>223</v>
      </c>
      <c r="E37" s="27">
        <f t="shared" si="16"/>
        <v>87</v>
      </c>
      <c r="F37" s="27">
        <f t="shared" si="16"/>
        <v>-4</v>
      </c>
      <c r="G37" s="27">
        <f t="shared" si="16"/>
        <v>368</v>
      </c>
      <c r="H37" s="27">
        <f t="shared" si="16"/>
        <v>535</v>
      </c>
      <c r="I37" s="27">
        <f t="shared" si="16"/>
        <v>-316</v>
      </c>
      <c r="J37" s="27">
        <f t="shared" ref="J37:O37" si="17">+J35+J36</f>
        <v>14</v>
      </c>
      <c r="K37" s="27">
        <f t="shared" si="17"/>
        <v>329</v>
      </c>
      <c r="L37" s="27">
        <f t="shared" si="17"/>
        <v>136</v>
      </c>
      <c r="M37" s="27">
        <f t="shared" si="17"/>
        <v>-177</v>
      </c>
      <c r="N37" s="27">
        <f t="shared" si="17"/>
        <v>-20</v>
      </c>
      <c r="O37" s="27">
        <f t="shared" si="17"/>
        <v>381</v>
      </c>
    </row>
    <row r="39" spans="1:19" s="35" customFormat="1">
      <c r="A39" s="34" t="s">
        <v>70</v>
      </c>
      <c r="B39" s="20">
        <v>1004</v>
      </c>
      <c r="C39" s="20">
        <v>1179</v>
      </c>
      <c r="D39" s="20">
        <v>1638</v>
      </c>
      <c r="E39" s="20">
        <v>1630</v>
      </c>
      <c r="F39" s="20">
        <v>1646</v>
      </c>
      <c r="G39" s="20">
        <v>1516</v>
      </c>
      <c r="H39" s="20">
        <v>1685</v>
      </c>
      <c r="I39" s="20">
        <v>1085</v>
      </c>
      <c r="J39" s="20">
        <v>1085</v>
      </c>
      <c r="K39" s="20">
        <v>1365</v>
      </c>
      <c r="L39" s="20">
        <v>1670</v>
      </c>
      <c r="M39" s="20"/>
      <c r="N39" s="20"/>
      <c r="O39" s="20"/>
      <c r="Q39" s="33"/>
    </row>
    <row r="40" spans="1:19" s="35" customFormat="1">
      <c r="A40" s="34" t="s">
        <v>71</v>
      </c>
      <c r="B40" s="20">
        <f>743+975+741+140</f>
        <v>2599</v>
      </c>
      <c r="C40" s="20">
        <f>977+741+146+795</f>
        <v>2659</v>
      </c>
      <c r="D40" s="20">
        <f>929+979+741+127</f>
        <v>2776</v>
      </c>
      <c r="E40" s="20">
        <f>925+981+995+120+750</f>
        <v>3771</v>
      </c>
      <c r="F40" s="20">
        <f>945+984+994+115</f>
        <v>3038</v>
      </c>
      <c r="G40" s="20">
        <f>881+986+994+119</f>
        <v>2980</v>
      </c>
      <c r="H40" s="20">
        <f>850+988+994+122</f>
        <v>2954</v>
      </c>
      <c r="I40" s="20">
        <f>870+1000+1000+111</f>
        <v>2981</v>
      </c>
      <c r="J40" s="20">
        <f>870+1000+1000+111</f>
        <v>2981</v>
      </c>
      <c r="K40" s="20">
        <f>699+992+66</f>
        <v>1757</v>
      </c>
      <c r="L40" s="20">
        <f>695+992+67</f>
        <v>1754</v>
      </c>
      <c r="M40" s="20"/>
      <c r="N40" s="20"/>
      <c r="O40" s="20"/>
      <c r="Q40" s="33">
        <v>3696</v>
      </c>
      <c r="R40" s="33">
        <f>Q40-1004+47</f>
        <v>2739</v>
      </c>
    </row>
    <row r="41" spans="1:19" s="35" customFormat="1">
      <c r="A41" s="34" t="s">
        <v>72</v>
      </c>
      <c r="B41" s="20">
        <f>B39+B40+743+999+993+1653+4+742+741+1087</f>
        <v>10565</v>
      </c>
      <c r="C41" s="20">
        <f>C39+C40+795+743+999+1089+993+1653+4+742+741</f>
        <v>11597</v>
      </c>
      <c r="D41" s="20">
        <f>D39+D40+795+742+999+1089+992+1652+4+741</f>
        <v>11428</v>
      </c>
      <c r="E41" s="20">
        <f>E39+E40+795+742+999+1088+992+1652+4+741</f>
        <v>12414</v>
      </c>
      <c r="F41" s="20">
        <f>F39+F40+794+742+999+1088+992+1651+4+741</f>
        <v>11695</v>
      </c>
      <c r="G41" s="20">
        <f>G39+G40+842+794+741+999+1087+992+1651+4</f>
        <v>11606</v>
      </c>
      <c r="H41" s="20">
        <f>H39+H40+842+794+741+999+1087+991+1650+4</f>
        <v>11747</v>
      </c>
      <c r="I41" s="20">
        <f>I39+I40+850+800+750+1000+1000+1673+1100</f>
        <v>11239</v>
      </c>
      <c r="J41" s="20">
        <f>J39+J40+850+800+750+1000+1000+1673+1100</f>
        <v>11239</v>
      </c>
      <c r="K41" s="20">
        <v>9138</v>
      </c>
      <c r="L41" s="20">
        <v>9440</v>
      </c>
      <c r="M41" s="20"/>
      <c r="N41" s="20"/>
      <c r="O41" s="20"/>
      <c r="Q41" s="33">
        <f>B44</f>
        <v>127</v>
      </c>
      <c r="R41" s="33">
        <f>Q41</f>
        <v>127</v>
      </c>
    </row>
    <row r="42" spans="1:19" s="35" customFormat="1">
      <c r="A42" s="34" t="s">
        <v>73</v>
      </c>
      <c r="B42" s="36">
        <f>72080277/1000000*159.63</f>
        <v>11506.17461751</v>
      </c>
      <c r="C42" s="36">
        <f>72049494/1000000*116.75</f>
        <v>8411.7784245000003</v>
      </c>
      <c r="D42" s="36">
        <f>74375477/1000000*135.69</f>
        <v>10092.00847413</v>
      </c>
      <c r="E42" s="36">
        <f>75155939/1000000*136</f>
        <v>10221.207704</v>
      </c>
      <c r="F42" s="36">
        <f>77162794/1000000*134.74</f>
        <v>10396.914863560001</v>
      </c>
      <c r="G42" s="36">
        <f>78624102/1000000*125.76</f>
        <v>9887.7670675199988</v>
      </c>
      <c r="H42" s="36">
        <f>79591082/1000000*123.32</f>
        <v>9815.1722322400001</v>
      </c>
      <c r="I42" s="36">
        <v>13538</v>
      </c>
      <c r="J42" s="36">
        <v>13538</v>
      </c>
      <c r="K42" s="36">
        <f>(83596643/1000000)*174.13</f>
        <v>14556.683445589999</v>
      </c>
      <c r="L42" s="36">
        <f>(84427665/1000000)*187.12</f>
        <v>15798.104674800001</v>
      </c>
      <c r="M42" s="36"/>
      <c r="N42" s="36"/>
      <c r="O42" s="36"/>
      <c r="Q42" s="33">
        <f>Q40+Q41</f>
        <v>3823</v>
      </c>
      <c r="R42" s="33">
        <f>R40+R41</f>
        <v>2866</v>
      </c>
    </row>
    <row r="43" spans="1:19">
      <c r="B43" s="35"/>
      <c r="C43" s="35"/>
      <c r="D43" s="35"/>
      <c r="E43" s="35"/>
      <c r="F43" s="35"/>
      <c r="G43" s="35"/>
      <c r="H43" s="35"/>
      <c r="I43" s="35"/>
      <c r="J43" s="35"/>
      <c r="K43" s="35"/>
      <c r="R43" s="90"/>
    </row>
    <row r="44" spans="1:19">
      <c r="A44" s="19" t="s">
        <v>74</v>
      </c>
      <c r="B44" s="28">
        <v>127</v>
      </c>
      <c r="C44" s="28">
        <v>513</v>
      </c>
      <c r="D44" s="28">
        <v>52</v>
      </c>
      <c r="E44" s="28">
        <v>60</v>
      </c>
      <c r="F44" s="28">
        <v>75</v>
      </c>
      <c r="G44" s="28">
        <v>52</v>
      </c>
      <c r="H44" s="28">
        <v>43</v>
      </c>
      <c r="I44" s="28">
        <v>117</v>
      </c>
      <c r="J44" s="28">
        <v>117</v>
      </c>
      <c r="K44" s="28">
        <v>278</v>
      </c>
      <c r="L44" s="28">
        <v>352</v>
      </c>
      <c r="M44" s="28"/>
      <c r="N44" s="57"/>
      <c r="O44" s="57"/>
      <c r="R44" s="90"/>
    </row>
    <row r="45" spans="1:19">
      <c r="R45" s="90"/>
    </row>
    <row r="46" spans="1:19">
      <c r="A46" s="14" t="s">
        <v>75</v>
      </c>
      <c r="B46" s="58">
        <f t="shared" ref="B46:H46" si="18">SUM(B12:E12)</f>
        <v>9008</v>
      </c>
      <c r="C46" s="58">
        <f t="shared" si="18"/>
        <v>9359</v>
      </c>
      <c r="D46" s="58">
        <f t="shared" si="18"/>
        <v>9351</v>
      </c>
      <c r="E46" s="58">
        <f t="shared" si="18"/>
        <v>9201</v>
      </c>
      <c r="F46" s="58">
        <f t="shared" si="18"/>
        <v>8829</v>
      </c>
      <c r="G46" s="58">
        <f t="shared" si="18"/>
        <v>8430</v>
      </c>
      <c r="H46" s="58">
        <f t="shared" si="18"/>
        <v>8047</v>
      </c>
      <c r="I46" s="51">
        <f>SUM(I12:L12)+780</f>
        <v>8443</v>
      </c>
      <c r="J46" s="51">
        <f>SUM(J12:M12)+780</f>
        <v>8093</v>
      </c>
      <c r="K46" s="33">
        <f>SUM(K12:N12)</f>
        <v>7019</v>
      </c>
      <c r="L46" s="33">
        <f>SUM(L12:O12)</f>
        <v>6641</v>
      </c>
      <c r="M46" s="33"/>
    </row>
    <row r="47" spans="1:19">
      <c r="A47" s="14" t="s">
        <v>76</v>
      </c>
      <c r="B47" s="58">
        <f t="shared" ref="B47" si="19">B27</f>
        <v>4175</v>
      </c>
      <c r="C47" s="58">
        <f t="shared" ref="C47:H47" si="20">C27</f>
        <v>4349</v>
      </c>
      <c r="D47" s="58">
        <f t="shared" si="20"/>
        <v>4355</v>
      </c>
      <c r="E47" s="58">
        <f t="shared" si="20"/>
        <v>4318</v>
      </c>
      <c r="F47" s="58">
        <f t="shared" si="20"/>
        <v>4170</v>
      </c>
      <c r="G47" s="58">
        <f t="shared" si="20"/>
        <v>4004</v>
      </c>
      <c r="H47" s="58">
        <f t="shared" si="20"/>
        <v>3863</v>
      </c>
      <c r="I47" s="51">
        <f>+I27+344</f>
        <v>4037</v>
      </c>
      <c r="J47" s="51">
        <f>+J27+344</f>
        <v>3857</v>
      </c>
      <c r="K47" s="33">
        <f>+K27</f>
        <v>3353</v>
      </c>
      <c r="L47" s="33">
        <f>+L27</f>
        <v>3164</v>
      </c>
      <c r="M47" s="33"/>
    </row>
    <row r="48" spans="1:19">
      <c r="A48" s="14" t="s">
        <v>77</v>
      </c>
      <c r="B48" s="33">
        <f t="shared" ref="B48:L48" si="21">+SUM(B37:E37)</f>
        <v>1316</v>
      </c>
      <c r="C48" s="33">
        <f t="shared" si="21"/>
        <v>689</v>
      </c>
      <c r="D48" s="33">
        <f t="shared" si="21"/>
        <v>674</v>
      </c>
      <c r="E48" s="33">
        <f t="shared" si="21"/>
        <v>986</v>
      </c>
      <c r="F48" s="33">
        <f t="shared" si="21"/>
        <v>583</v>
      </c>
      <c r="G48" s="33">
        <f t="shared" si="21"/>
        <v>601</v>
      </c>
      <c r="H48" s="33">
        <f t="shared" si="21"/>
        <v>562</v>
      </c>
      <c r="I48" s="33">
        <f t="shared" si="21"/>
        <v>163</v>
      </c>
      <c r="J48" s="33">
        <f t="shared" si="21"/>
        <v>302</v>
      </c>
      <c r="K48" s="33">
        <f t="shared" si="21"/>
        <v>268</v>
      </c>
      <c r="L48" s="33">
        <f t="shared" si="21"/>
        <v>320</v>
      </c>
      <c r="M48" s="33"/>
    </row>
    <row r="50" spans="1:15" s="37" customFormat="1">
      <c r="A50" s="37" t="s">
        <v>78</v>
      </c>
      <c r="B50" s="37">
        <f t="shared" ref="B50" si="22">+SUM(B39:B40)/B47</f>
        <v>0.86299401197604786</v>
      </c>
      <c r="C50" s="37">
        <f t="shared" ref="C50:D50" si="23">+SUM(C39:C40)/C47</f>
        <v>0.8825017245343757</v>
      </c>
      <c r="D50" s="37">
        <f t="shared" si="23"/>
        <v>1.0135476463834672</v>
      </c>
      <c r="E50" s="37">
        <f t="shared" ref="E50:F50" si="24">+SUM(E39:E40)/E47</f>
        <v>1.2508105604446502</v>
      </c>
      <c r="F50" s="37">
        <f t="shared" si="24"/>
        <v>1.1232613908872902</v>
      </c>
      <c r="G50" s="37">
        <f t="shared" ref="G50:L50" si="25">+SUM(G39:G40)/G47</f>
        <v>1.1228771228771228</v>
      </c>
      <c r="H50" s="37">
        <f t="shared" si="25"/>
        <v>1.200880144965053</v>
      </c>
      <c r="I50" s="37">
        <f t="shared" si="25"/>
        <v>1.0071835521426802</v>
      </c>
      <c r="J50" s="37">
        <f t="shared" si="25"/>
        <v>1.0541871921182266</v>
      </c>
      <c r="K50" s="37">
        <f t="shared" si="25"/>
        <v>0.93110647181628392</v>
      </c>
      <c r="L50" s="37">
        <f t="shared" si="25"/>
        <v>1.0821744627054362</v>
      </c>
    </row>
    <row r="51" spans="1:15" s="37" customFormat="1">
      <c r="A51" s="37" t="s">
        <v>79</v>
      </c>
      <c r="B51" s="37">
        <f t="shared" ref="B51" si="26">+B41/B47</f>
        <v>2.5305389221556887</v>
      </c>
      <c r="C51" s="37">
        <f t="shared" ref="C51:D51" si="27">+C41/C47</f>
        <v>2.6665900206944126</v>
      </c>
      <c r="D51" s="37">
        <f t="shared" si="27"/>
        <v>2.6241102181400691</v>
      </c>
      <c r="E51" s="37">
        <f t="shared" ref="E51:F51" si="28">+E41/E47</f>
        <v>2.8749421028253823</v>
      </c>
      <c r="F51" s="37">
        <f t="shared" si="28"/>
        <v>2.804556354916067</v>
      </c>
      <c r="G51" s="37">
        <f t="shared" ref="G51:L51" si="29">+G41/G47</f>
        <v>2.8986013986013988</v>
      </c>
      <c r="H51" s="37">
        <f t="shared" si="29"/>
        <v>3.0409008542583482</v>
      </c>
      <c r="I51" s="37">
        <f t="shared" si="29"/>
        <v>2.7839980183304434</v>
      </c>
      <c r="J51" s="37">
        <f t="shared" si="29"/>
        <v>2.9139227378791808</v>
      </c>
      <c r="K51" s="37">
        <f t="shared" si="29"/>
        <v>2.7253206084103789</v>
      </c>
      <c r="L51" s="37">
        <f t="shared" si="29"/>
        <v>2.9835651074589129</v>
      </c>
    </row>
    <row r="52" spans="1:15" s="37" customFormat="1">
      <c r="A52" s="37" t="s">
        <v>80</v>
      </c>
      <c r="B52" s="37">
        <f t="shared" ref="B52" si="30">+(B41-B44)/B47</f>
        <v>2.5001197604790417</v>
      </c>
      <c r="C52" s="37">
        <f t="shared" ref="C52:D52" si="31">+(C41-C44)/C47</f>
        <v>2.5486318693952632</v>
      </c>
      <c r="D52" s="37">
        <f t="shared" si="31"/>
        <v>2.6121699196326063</v>
      </c>
      <c r="E52" s="37">
        <f t="shared" ref="E52:F52" si="32">+(E41-E44)/E47</f>
        <v>2.8610467809170914</v>
      </c>
      <c r="F52" s="37">
        <f t="shared" si="32"/>
        <v>2.7865707434052758</v>
      </c>
      <c r="G52" s="37">
        <f t="shared" ref="G52:L52" si="33">+(G41-G44)/G47</f>
        <v>2.8856143856143857</v>
      </c>
      <c r="H52" s="37">
        <f t="shared" si="33"/>
        <v>3.0297696091120891</v>
      </c>
      <c r="I52" s="37">
        <f t="shared" si="33"/>
        <v>2.7550161010651473</v>
      </c>
      <c r="J52" s="37">
        <f t="shared" si="33"/>
        <v>2.8835882810474462</v>
      </c>
      <c r="K52" s="37">
        <f t="shared" si="33"/>
        <v>2.6424097822845214</v>
      </c>
      <c r="L52" s="37">
        <f t="shared" si="33"/>
        <v>2.872313527180784</v>
      </c>
    </row>
    <row r="53" spans="1:15" s="38" customFormat="1">
      <c r="A53" s="38" t="s">
        <v>81</v>
      </c>
      <c r="B53" s="38">
        <f t="shared" ref="B53" si="34">+B48/B41</f>
        <v>0.12456223379081874</v>
      </c>
      <c r="C53" s="38">
        <f t="shared" ref="C53:D53" si="35">+C48/C41</f>
        <v>5.9411916875053893E-2</v>
      </c>
      <c r="D53" s="38">
        <f t="shared" si="35"/>
        <v>5.8977948897444871E-2</v>
      </c>
      <c r="E53" s="38">
        <f t="shared" ref="E53:F53" si="36">+E48/E41</f>
        <v>7.9426454003544381E-2</v>
      </c>
      <c r="F53" s="38">
        <f t="shared" si="36"/>
        <v>4.9850363403163747E-2</v>
      </c>
      <c r="G53" s="38">
        <f t="shared" ref="G53:L53" si="37">+G48/G41</f>
        <v>5.178356022746855E-2</v>
      </c>
      <c r="H53" s="38">
        <f t="shared" si="37"/>
        <v>4.7842002213331063E-2</v>
      </c>
      <c r="I53" s="38">
        <f t="shared" si="37"/>
        <v>1.450306966811994E-2</v>
      </c>
      <c r="J53" s="38">
        <f t="shared" si="37"/>
        <v>2.6870718035412404E-2</v>
      </c>
      <c r="K53" s="38">
        <f t="shared" si="37"/>
        <v>2.9328080542788355E-2</v>
      </c>
      <c r="L53" s="38">
        <f t="shared" si="37"/>
        <v>3.3898305084745763E-2</v>
      </c>
    </row>
    <row r="54" spans="1:15" s="38" customFormat="1">
      <c r="A54" s="39" t="s">
        <v>82</v>
      </c>
      <c r="B54" s="40"/>
      <c r="C54" s="40"/>
      <c r="D54" s="40"/>
      <c r="E54" s="40"/>
      <c r="F54" s="40"/>
      <c r="G54" s="40"/>
      <c r="H54" s="40"/>
      <c r="I54" s="40"/>
      <c r="J54" s="40"/>
      <c r="K54" s="40"/>
      <c r="L54" s="40"/>
      <c r="M54" s="40"/>
      <c r="N54" s="39"/>
      <c r="O54" s="39"/>
    </row>
    <row r="55" spans="1:15" s="38" customFormat="1">
      <c r="A55" s="38" t="s">
        <v>83</v>
      </c>
      <c r="B55" s="41">
        <f t="shared" ref="B55:C55" si="38">IF(B42=0,IF(B54="","","*"&amp;TEXT(B54,"0.0x")),(B41+B42-B44)/B47)</f>
        <v>5.25608972874491</v>
      </c>
      <c r="C55" s="41">
        <f t="shared" si="38"/>
        <v>4.4828186765923199</v>
      </c>
      <c r="D55" s="41">
        <f t="shared" ref="D55:E55" si="39">IF(D42=0,IF(D54="","","*"&amp;TEXT(D54,"0.0x")),(D41+D42-D44)/D47)</f>
        <v>4.9295082604202074</v>
      </c>
      <c r="E55" s="41">
        <f t="shared" si="39"/>
        <v>5.2281629698934688</v>
      </c>
      <c r="F55" s="41">
        <f t="shared" ref="F55:G55" si="40">IF(F42=0,IF(F54="","","*"&amp;TEXT(F54,"0.0x")),(F41+F42-F44)/F47)</f>
        <v>5.2798356986954431</v>
      </c>
      <c r="G55" s="41">
        <f t="shared" si="40"/>
        <v>5.3550866801997996</v>
      </c>
      <c r="H55" s="41">
        <f t="shared" ref="H55:M55" si="41">IF(H42=0,IF(H54="","","*"&amp;TEXT(H54,"0.0x")),(H41+H42-H44)/H47)</f>
        <v>5.5705856153870057</v>
      </c>
      <c r="I55" s="41">
        <f t="shared" si="41"/>
        <v>6.108496408223929</v>
      </c>
      <c r="J55" s="41">
        <f t="shared" si="41"/>
        <v>6.3935701322271195</v>
      </c>
      <c r="K55" s="41">
        <f t="shared" si="41"/>
        <v>6.9838006100775418</v>
      </c>
      <c r="L55" s="41">
        <f t="shared" si="41"/>
        <v>7.8653933864728192</v>
      </c>
      <c r="M55" s="41" t="str">
        <f t="shared" si="41"/>
        <v/>
      </c>
      <c r="N55" s="41" t="str">
        <f>IF(N42=0,IF(N54="","",CONCATENATE("* ",N54,"x")),(N41+N42-N44)/N47)</f>
        <v/>
      </c>
      <c r="O55" s="41" t="str">
        <f>IF(O42=0,IF(O54="","",CONCATENATE("* ",O54,"x")),(O41+O42-O44)/O47)</f>
        <v/>
      </c>
    </row>
    <row r="56" spans="1:15">
      <c r="M56" s="42"/>
    </row>
    <row r="57" spans="1:15" ht="80.25" customHeight="1">
      <c r="A57" s="43" t="s">
        <v>84</v>
      </c>
      <c r="B57" s="44" t="s">
        <v>528</v>
      </c>
      <c r="C57" s="44" t="s">
        <v>290</v>
      </c>
      <c r="D57" s="44" t="s">
        <v>301</v>
      </c>
      <c r="E57" s="44" t="s">
        <v>290</v>
      </c>
      <c r="F57" s="44" t="s">
        <v>290</v>
      </c>
      <c r="G57" s="44" t="s">
        <v>290</v>
      </c>
      <c r="H57" s="44" t="s">
        <v>301</v>
      </c>
      <c r="I57" s="44" t="s">
        <v>290</v>
      </c>
      <c r="J57" s="44" t="s">
        <v>290</v>
      </c>
      <c r="K57" s="44" t="s">
        <v>290</v>
      </c>
      <c r="L57" s="44" t="s">
        <v>301</v>
      </c>
      <c r="M57" s="44" t="s">
        <v>290</v>
      </c>
      <c r="N57" s="44" t="s">
        <v>290</v>
      </c>
      <c r="O57" s="44" t="s">
        <v>290</v>
      </c>
    </row>
    <row r="58" spans="1:15">
      <c r="A58" s="45"/>
      <c r="B58" s="42"/>
      <c r="C58" s="42"/>
      <c r="D58" s="42"/>
      <c r="E58" s="42"/>
      <c r="F58" s="42"/>
      <c r="G58" s="42"/>
      <c r="H58" s="42"/>
      <c r="I58" s="42"/>
    </row>
    <row r="59" spans="1:15">
      <c r="A59" s="45"/>
    </row>
  </sheetData>
  <pageMargins left="0.7" right="0.7" top="0.75" bottom="0.75" header="0.3" footer="0.3"/>
  <pageSetup orientation="portrait" r:id="rId1"/>
  <legacyDrawing r:id="rId2"/>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2:S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5" width="10.6640625" style="14" customWidth="1"/>
    <col min="16" max="16384" width="9.109375" style="14"/>
  </cols>
  <sheetData>
    <row r="2" spans="1:19">
      <c r="A2" s="13" t="s">
        <v>44</v>
      </c>
      <c r="B2" s="14" t="s">
        <v>310</v>
      </c>
    </row>
    <row r="3" spans="1:19" s="16" customFormat="1">
      <c r="A3" s="15" t="s">
        <v>45</v>
      </c>
      <c r="B3" s="16" t="s">
        <v>311</v>
      </c>
    </row>
    <row r="4" spans="1:19">
      <c r="A4" s="13" t="s">
        <v>2</v>
      </c>
      <c r="B4" s="14" t="s">
        <v>4</v>
      </c>
    </row>
    <row r="5" spans="1:19">
      <c r="A5" s="13" t="s">
        <v>46</v>
      </c>
    </row>
    <row r="6" spans="1:19">
      <c r="A6" s="13" t="s">
        <v>47</v>
      </c>
      <c r="B6" s="14">
        <v>3</v>
      </c>
    </row>
    <row r="7" spans="1:19">
      <c r="A7" s="13" t="s">
        <v>48</v>
      </c>
      <c r="B7" s="14" t="s">
        <v>451</v>
      </c>
    </row>
    <row r="8" spans="1:19">
      <c r="A8" s="13" t="s">
        <v>347</v>
      </c>
      <c r="B8" s="14" t="s">
        <v>357</v>
      </c>
    </row>
    <row r="9" spans="1:19">
      <c r="A9" s="17"/>
    </row>
    <row r="10" spans="1:19">
      <c r="A10" s="17" t="s">
        <v>49</v>
      </c>
      <c r="B10" s="18">
        <v>44377</v>
      </c>
      <c r="C10" s="18">
        <v>44286</v>
      </c>
      <c r="D10" s="18">
        <v>44196</v>
      </c>
      <c r="E10" s="18">
        <v>44104</v>
      </c>
      <c r="F10" s="18">
        <v>44012</v>
      </c>
      <c r="G10" s="18">
        <v>43921</v>
      </c>
      <c r="H10" s="18">
        <v>43830</v>
      </c>
      <c r="I10" s="18">
        <v>43738</v>
      </c>
      <c r="J10" s="18">
        <v>43646</v>
      </c>
      <c r="K10" s="18">
        <v>43555</v>
      </c>
      <c r="L10" s="18">
        <v>43465</v>
      </c>
      <c r="M10" s="18">
        <v>43373</v>
      </c>
      <c r="N10" s="18">
        <v>43281</v>
      </c>
      <c r="O10" s="18">
        <f>EOMONTH(N10,-3)</f>
        <v>43190</v>
      </c>
    </row>
    <row r="12" spans="1:19">
      <c r="A12" s="19" t="s">
        <v>50</v>
      </c>
      <c r="B12" s="20">
        <v>366</v>
      </c>
      <c r="C12" s="20">
        <v>292</v>
      </c>
      <c r="D12" s="20">
        <v>380</v>
      </c>
      <c r="E12" s="20">
        <v>345</v>
      </c>
      <c r="F12" s="20">
        <v>319</v>
      </c>
      <c r="G12" s="20">
        <v>286</v>
      </c>
      <c r="H12" s="20">
        <v>427</v>
      </c>
      <c r="I12" s="20">
        <v>350</v>
      </c>
      <c r="J12" s="20">
        <v>350</v>
      </c>
      <c r="K12" s="20">
        <v>341</v>
      </c>
      <c r="L12" s="20">
        <f>1295-M12-N12-O12</f>
        <v>359</v>
      </c>
      <c r="M12" s="20">
        <f>936-N12-O12</f>
        <v>334</v>
      </c>
      <c r="N12" s="20">
        <f>602-O12</f>
        <v>367</v>
      </c>
      <c r="O12" s="20">
        <v>235</v>
      </c>
      <c r="S12" s="33"/>
    </row>
    <row r="13" spans="1:19" s="21" customFormat="1">
      <c r="A13" s="21" t="s">
        <v>51</v>
      </c>
      <c r="B13" s="21">
        <f t="shared" ref="B13:K13" si="0">B12/F12-1</f>
        <v>0.14733542319749215</v>
      </c>
      <c r="C13" s="21">
        <f t="shared" si="0"/>
        <v>2.0979020979021046E-2</v>
      </c>
      <c r="D13" s="21">
        <f t="shared" si="0"/>
        <v>-0.11007025761124123</v>
      </c>
      <c r="E13" s="21">
        <f t="shared" si="0"/>
        <v>-1.4285714285714235E-2</v>
      </c>
      <c r="F13" s="21">
        <f t="shared" si="0"/>
        <v>-8.8571428571428523E-2</v>
      </c>
      <c r="G13" s="21">
        <f t="shared" si="0"/>
        <v>-0.16129032258064513</v>
      </c>
      <c r="H13" s="21">
        <f t="shared" si="0"/>
        <v>0.18941504178272983</v>
      </c>
      <c r="I13" s="21">
        <f t="shared" si="0"/>
        <v>4.7904191616766401E-2</v>
      </c>
      <c r="J13" s="21">
        <f t="shared" si="0"/>
        <v>-4.6321525885558601E-2</v>
      </c>
      <c r="K13" s="21">
        <f t="shared" si="0"/>
        <v>0.45106382978723403</v>
      </c>
    </row>
    <row r="14" spans="1:19" s="24" customFormat="1">
      <c r="A14" s="22" t="s">
        <v>52</v>
      </c>
      <c r="B14" s="23" t="s">
        <v>3</v>
      </c>
      <c r="C14" s="23" t="s">
        <v>3</v>
      </c>
      <c r="D14" s="23" t="s">
        <v>3</v>
      </c>
      <c r="E14" s="23" t="s">
        <v>3</v>
      </c>
      <c r="F14" s="23" t="s">
        <v>3</v>
      </c>
      <c r="G14" s="23" t="s">
        <v>3</v>
      </c>
      <c r="H14" s="23" t="s">
        <v>3</v>
      </c>
      <c r="I14" s="23" t="s">
        <v>3</v>
      </c>
      <c r="J14" s="23" t="s">
        <v>3</v>
      </c>
      <c r="K14" s="23" t="s">
        <v>3</v>
      </c>
      <c r="L14" s="23"/>
      <c r="M14" s="23"/>
      <c r="N14" s="23"/>
      <c r="O14" s="23"/>
    </row>
    <row r="15" spans="1:19">
      <c r="B15" s="130"/>
      <c r="C15" s="130"/>
      <c r="D15" s="130"/>
      <c r="E15" s="130"/>
      <c r="F15" s="130"/>
      <c r="G15" s="130"/>
      <c r="H15" s="130"/>
      <c r="I15" s="130"/>
    </row>
    <row r="16" spans="1:19" s="17" customFormat="1">
      <c r="A16" s="25" t="s">
        <v>53</v>
      </c>
      <c r="B16" s="26">
        <v>66</v>
      </c>
      <c r="C16" s="26">
        <v>61</v>
      </c>
      <c r="D16" s="26">
        <v>69</v>
      </c>
      <c r="E16" s="26">
        <v>69</v>
      </c>
      <c r="F16" s="26">
        <v>40</v>
      </c>
      <c r="G16" s="26">
        <v>30</v>
      </c>
      <c r="H16" s="26">
        <v>97</v>
      </c>
      <c r="I16" s="26">
        <v>47</v>
      </c>
      <c r="J16" s="26">
        <v>46</v>
      </c>
      <c r="K16" s="26">
        <v>29</v>
      </c>
      <c r="L16" s="26"/>
      <c r="M16" s="26"/>
      <c r="N16" s="26"/>
      <c r="O16" s="26"/>
      <c r="Q16" s="14"/>
    </row>
    <row r="17" spans="1:19" s="21" customFormat="1">
      <c r="A17" s="21" t="s">
        <v>54</v>
      </c>
      <c r="B17" s="21">
        <f t="shared" ref="B17:C17" si="1">B16/B12</f>
        <v>0.18032786885245902</v>
      </c>
      <c r="C17" s="21">
        <f t="shared" si="1"/>
        <v>0.2089041095890411</v>
      </c>
      <c r="D17" s="21">
        <f t="shared" ref="D17:E17" si="2">D16/D12</f>
        <v>0.18157894736842106</v>
      </c>
      <c r="E17" s="21">
        <f t="shared" si="2"/>
        <v>0.2</v>
      </c>
      <c r="F17" s="21">
        <f t="shared" ref="F17:K17" si="3">F16/F12</f>
        <v>0.12539184952978055</v>
      </c>
      <c r="G17" s="21">
        <f t="shared" si="3"/>
        <v>0.1048951048951049</v>
      </c>
      <c r="H17" s="21">
        <f t="shared" si="3"/>
        <v>0.22716627634660422</v>
      </c>
      <c r="I17" s="21">
        <f t="shared" si="3"/>
        <v>0.13428571428571429</v>
      </c>
      <c r="J17" s="21">
        <f t="shared" si="3"/>
        <v>0.13142857142857142</v>
      </c>
      <c r="K17" s="21">
        <f t="shared" si="3"/>
        <v>8.5043988269794715E-2</v>
      </c>
    </row>
    <row r="18" spans="1:19" s="24" customFormat="1"/>
    <row r="19" spans="1:19" s="24" customFormat="1">
      <c r="A19" s="19" t="s">
        <v>55</v>
      </c>
      <c r="B19" s="20">
        <v>0</v>
      </c>
      <c r="C19" s="20">
        <v>0</v>
      </c>
      <c r="D19" s="20">
        <v>0</v>
      </c>
      <c r="E19" s="20">
        <v>0</v>
      </c>
      <c r="F19" s="20">
        <v>0</v>
      </c>
      <c r="G19" s="20">
        <v>0</v>
      </c>
      <c r="H19" s="20">
        <v>0</v>
      </c>
      <c r="I19" s="20">
        <v>0</v>
      </c>
      <c r="J19" s="20">
        <v>0</v>
      </c>
      <c r="K19" s="20">
        <v>0</v>
      </c>
      <c r="L19" s="20"/>
      <c r="M19" s="20"/>
      <c r="N19" s="20"/>
      <c r="O19" s="20"/>
    </row>
    <row r="20" spans="1:19" s="24" customFormat="1">
      <c r="A20" s="19" t="s">
        <v>56</v>
      </c>
      <c r="B20" s="20">
        <v>0</v>
      </c>
      <c r="C20" s="20">
        <v>0</v>
      </c>
      <c r="D20" s="20">
        <v>0</v>
      </c>
      <c r="E20" s="20">
        <v>0</v>
      </c>
      <c r="F20" s="20">
        <v>0</v>
      </c>
      <c r="G20" s="20">
        <v>0</v>
      </c>
      <c r="H20" s="20">
        <v>0</v>
      </c>
      <c r="I20" s="20">
        <v>0</v>
      </c>
      <c r="J20" s="20">
        <v>0</v>
      </c>
      <c r="K20" s="20">
        <v>0</v>
      </c>
      <c r="L20" s="20"/>
      <c r="M20" s="20"/>
      <c r="N20" s="20"/>
      <c r="O20" s="20"/>
    </row>
    <row r="21" spans="1:19" s="24" customFormat="1">
      <c r="A21" s="19" t="s">
        <v>57</v>
      </c>
      <c r="B21" s="20">
        <f t="shared" ref="B21:D21" si="4">B22-B16-B19-B20</f>
        <v>15</v>
      </c>
      <c r="C21" s="20">
        <f t="shared" si="4"/>
        <v>8</v>
      </c>
      <c r="D21" s="20">
        <f t="shared" si="4"/>
        <v>26</v>
      </c>
      <c r="E21" s="20">
        <f t="shared" ref="E21:K21" si="5">E22-E16-E19-E20</f>
        <v>-5</v>
      </c>
      <c r="F21" s="20">
        <f t="shared" si="5"/>
        <v>21</v>
      </c>
      <c r="G21" s="20">
        <f t="shared" si="5"/>
        <v>21</v>
      </c>
      <c r="H21" s="20">
        <f t="shared" si="5"/>
        <v>13</v>
      </c>
      <c r="I21" s="20">
        <f t="shared" si="5"/>
        <v>27</v>
      </c>
      <c r="J21" s="20">
        <f t="shared" si="5"/>
        <v>29</v>
      </c>
      <c r="K21" s="20">
        <f t="shared" si="5"/>
        <v>31</v>
      </c>
      <c r="L21" s="20"/>
      <c r="M21" s="20"/>
      <c r="N21" s="20"/>
      <c r="O21" s="20"/>
    </row>
    <row r="22" spans="1:19" s="17" customFormat="1">
      <c r="A22" s="17" t="s">
        <v>58</v>
      </c>
      <c r="B22" s="27">
        <v>81</v>
      </c>
      <c r="C22" s="27">
        <v>69</v>
      </c>
      <c r="D22" s="27">
        <v>95</v>
      </c>
      <c r="E22" s="27">
        <v>64</v>
      </c>
      <c r="F22" s="27">
        <v>61</v>
      </c>
      <c r="G22" s="27">
        <v>51</v>
      </c>
      <c r="H22" s="27">
        <v>110</v>
      </c>
      <c r="I22" s="27">
        <v>74</v>
      </c>
      <c r="J22" s="27">
        <v>75</v>
      </c>
      <c r="K22" s="27">
        <v>60</v>
      </c>
      <c r="L22" s="27">
        <f>295-M22-N22-O22</f>
        <v>73</v>
      </c>
      <c r="M22" s="27">
        <f>222-N22-O22</f>
        <v>84</v>
      </c>
      <c r="N22" s="27">
        <f>138-O22</f>
        <v>86</v>
      </c>
      <c r="O22" s="27">
        <v>52</v>
      </c>
    </row>
    <row r="23" spans="1:19" s="17" customFormat="1">
      <c r="B23" s="21"/>
      <c r="C23" s="21"/>
      <c r="D23" s="21"/>
      <c r="E23" s="21"/>
      <c r="F23" s="21"/>
      <c r="G23" s="21"/>
      <c r="H23" s="21"/>
      <c r="I23" s="21"/>
      <c r="J23" s="21"/>
      <c r="K23" s="21"/>
      <c r="L23" s="27"/>
      <c r="M23" s="27"/>
      <c r="N23" s="27"/>
      <c r="O23" s="27"/>
      <c r="Q23" s="87"/>
    </row>
    <row r="24" spans="1:19" s="17" customFormat="1">
      <c r="A24" s="17" t="s">
        <v>59</v>
      </c>
      <c r="B24" s="65">
        <f t="shared" ref="B24:H24" si="6">SUM(B22:E22)</f>
        <v>309</v>
      </c>
      <c r="C24" s="65">
        <f t="shared" si="6"/>
        <v>289</v>
      </c>
      <c r="D24" s="65">
        <f t="shared" si="6"/>
        <v>271</v>
      </c>
      <c r="E24" s="65">
        <f t="shared" si="6"/>
        <v>286</v>
      </c>
      <c r="F24" s="65">
        <f t="shared" si="6"/>
        <v>296</v>
      </c>
      <c r="G24" s="65">
        <f t="shared" si="6"/>
        <v>310</v>
      </c>
      <c r="H24" s="65">
        <f t="shared" si="6"/>
        <v>319</v>
      </c>
      <c r="I24" s="46">
        <v>293</v>
      </c>
      <c r="J24" s="46">
        <v>302</v>
      </c>
      <c r="K24" s="46">
        <v>311</v>
      </c>
      <c r="L24" s="27"/>
      <c r="M24" s="27"/>
      <c r="N24" s="27"/>
      <c r="O24" s="27"/>
      <c r="R24" s="27"/>
      <c r="S24" s="27"/>
    </row>
    <row r="25" spans="1:19" s="24" customFormat="1">
      <c r="A25" s="19" t="s">
        <v>60</v>
      </c>
      <c r="B25" s="28">
        <f>315-B24</f>
        <v>6</v>
      </c>
      <c r="C25" s="28">
        <f>295-C24</f>
        <v>6</v>
      </c>
      <c r="D25" s="28">
        <f>279-D24</f>
        <v>8</v>
      </c>
      <c r="E25" s="28">
        <f>287-E24</f>
        <v>1</v>
      </c>
      <c r="F25" s="28">
        <f>304-F24</f>
        <v>8</v>
      </c>
      <c r="G25" s="28">
        <f>317-G24</f>
        <v>7</v>
      </c>
      <c r="H25" s="28">
        <f>324-H24</f>
        <v>5</v>
      </c>
      <c r="I25" s="28">
        <f>301-I24</f>
        <v>8</v>
      </c>
      <c r="J25" s="28">
        <f>307-J24</f>
        <v>5</v>
      </c>
      <c r="K25" s="28">
        <f>311-K24</f>
        <v>0</v>
      </c>
      <c r="L25" s="28"/>
      <c r="M25" s="28"/>
      <c r="N25" s="28"/>
      <c r="O25" s="28"/>
      <c r="Q25" s="113"/>
      <c r="R25" s="21"/>
    </row>
    <row r="26" spans="1:19" s="24" customFormat="1">
      <c r="A26" s="19" t="s">
        <v>61</v>
      </c>
      <c r="B26" s="29">
        <v>0</v>
      </c>
      <c r="C26" s="29">
        <v>0</v>
      </c>
      <c r="D26" s="29">
        <v>0</v>
      </c>
      <c r="E26" s="29">
        <v>0</v>
      </c>
      <c r="F26" s="29">
        <v>0</v>
      </c>
      <c r="G26" s="29">
        <v>0</v>
      </c>
      <c r="H26" s="29">
        <v>0</v>
      </c>
      <c r="I26" s="29">
        <v>0</v>
      </c>
      <c r="J26" s="29">
        <v>0</v>
      </c>
      <c r="K26" s="29">
        <v>0</v>
      </c>
      <c r="L26" s="29"/>
      <c r="M26" s="29"/>
      <c r="N26" s="29"/>
      <c r="O26" s="29"/>
    </row>
    <row r="27" spans="1:19" s="32" customFormat="1">
      <c r="A27" s="17" t="s">
        <v>62</v>
      </c>
      <c r="B27" s="27">
        <f t="shared" ref="B27:C27" si="7">B24+B25+B26</f>
        <v>315</v>
      </c>
      <c r="C27" s="27">
        <f t="shared" si="7"/>
        <v>295</v>
      </c>
      <c r="D27" s="27">
        <f t="shared" ref="D27:E27" si="8">D24+D25+D26</f>
        <v>279</v>
      </c>
      <c r="E27" s="27">
        <f t="shared" si="8"/>
        <v>287</v>
      </c>
      <c r="F27" s="27">
        <f t="shared" ref="F27:K27" si="9">F24+F25+F26</f>
        <v>304</v>
      </c>
      <c r="G27" s="27">
        <f t="shared" si="9"/>
        <v>317</v>
      </c>
      <c r="H27" s="27">
        <f t="shared" si="9"/>
        <v>324</v>
      </c>
      <c r="I27" s="27">
        <f t="shared" si="9"/>
        <v>301</v>
      </c>
      <c r="J27" s="27">
        <f t="shared" si="9"/>
        <v>307</v>
      </c>
      <c r="K27" s="27">
        <f t="shared" si="9"/>
        <v>311</v>
      </c>
      <c r="L27" s="27"/>
      <c r="M27" s="27"/>
      <c r="N27" s="27"/>
      <c r="O27" s="27"/>
    </row>
    <row r="28" spans="1:19" s="24" customFormat="1"/>
    <row r="29" spans="1:19" s="17" customFormat="1">
      <c r="A29" s="17" t="s">
        <v>58</v>
      </c>
      <c r="B29" s="65">
        <f t="shared" ref="B29:C29" si="10">B22</f>
        <v>81</v>
      </c>
      <c r="C29" s="65">
        <f t="shared" si="10"/>
        <v>69</v>
      </c>
      <c r="D29" s="65">
        <f t="shared" ref="D29:E29" si="11">D22</f>
        <v>95</v>
      </c>
      <c r="E29" s="65">
        <f t="shared" si="11"/>
        <v>64</v>
      </c>
      <c r="F29" s="65">
        <f t="shared" ref="F29:K29" si="12">F22</f>
        <v>61</v>
      </c>
      <c r="G29" s="65">
        <f t="shared" si="12"/>
        <v>51</v>
      </c>
      <c r="H29" s="65">
        <f t="shared" si="12"/>
        <v>110</v>
      </c>
      <c r="I29" s="65">
        <f t="shared" si="12"/>
        <v>74</v>
      </c>
      <c r="J29" s="65">
        <f t="shared" si="12"/>
        <v>75</v>
      </c>
      <c r="K29" s="65">
        <f t="shared" si="12"/>
        <v>60</v>
      </c>
      <c r="L29" s="27"/>
      <c r="M29" s="27"/>
      <c r="N29" s="27"/>
      <c r="O29" s="27"/>
      <c r="Q29" s="14"/>
    </row>
    <row r="30" spans="1:19" s="33" customFormat="1">
      <c r="A30" s="20" t="s">
        <v>63</v>
      </c>
      <c r="B30" s="20">
        <v>-43</v>
      </c>
      <c r="C30" s="20">
        <v>-10</v>
      </c>
      <c r="D30" s="20">
        <v>-38</v>
      </c>
      <c r="E30" s="20">
        <v>-10</v>
      </c>
      <c r="F30" s="20">
        <v>-25</v>
      </c>
      <c r="G30" s="20">
        <v>-18</v>
      </c>
      <c r="H30" s="20">
        <v>-14</v>
      </c>
      <c r="I30" s="20">
        <v>-24</v>
      </c>
      <c r="J30" s="20">
        <v>-30</v>
      </c>
      <c r="K30" s="20">
        <v>-21</v>
      </c>
      <c r="L30" s="20"/>
      <c r="M30" s="20"/>
      <c r="N30" s="20"/>
      <c r="O30" s="20"/>
    </row>
    <row r="31" spans="1:19" s="33" customFormat="1">
      <c r="A31" s="20" t="s">
        <v>64</v>
      </c>
      <c r="B31" s="20">
        <v>-1</v>
      </c>
      <c r="C31" s="20">
        <v>-3</v>
      </c>
      <c r="D31" s="20">
        <v>-4</v>
      </c>
      <c r="E31" s="20">
        <v>0</v>
      </c>
      <c r="F31" s="20">
        <v>4</v>
      </c>
      <c r="G31" s="20">
        <v>-5</v>
      </c>
      <c r="H31" s="20">
        <v>2</v>
      </c>
      <c r="I31" s="20">
        <v>-30</v>
      </c>
      <c r="J31" s="20">
        <v>-7</v>
      </c>
      <c r="K31" s="20">
        <v>-7</v>
      </c>
      <c r="L31" s="20"/>
      <c r="M31" s="20"/>
      <c r="N31" s="20"/>
      <c r="O31" s="20"/>
    </row>
    <row r="32" spans="1:19" s="33" customFormat="1">
      <c r="A32" s="20" t="s">
        <v>65</v>
      </c>
      <c r="B32" s="20">
        <v>11</v>
      </c>
      <c r="C32" s="20">
        <v>-32</v>
      </c>
      <c r="D32" s="20">
        <v>29</v>
      </c>
      <c r="E32" s="20">
        <v>-11</v>
      </c>
      <c r="F32" s="20">
        <v>0</v>
      </c>
      <c r="G32" s="20">
        <v>-75</v>
      </c>
      <c r="H32" s="20">
        <v>-65</v>
      </c>
      <c r="I32" s="20">
        <v>44</v>
      </c>
      <c r="J32" s="20">
        <v>-7</v>
      </c>
      <c r="K32" s="20">
        <v>29</v>
      </c>
      <c r="L32" s="20"/>
      <c r="M32" s="20"/>
      <c r="N32" s="20"/>
      <c r="O32" s="20"/>
    </row>
    <row r="33" spans="1:18" s="33" customFormat="1">
      <c r="A33" s="20" t="s">
        <v>66</v>
      </c>
      <c r="B33" s="20">
        <f t="shared" ref="B33:C33" si="13">-B19-B20-B21</f>
        <v>-15</v>
      </c>
      <c r="C33" s="20">
        <f t="shared" si="13"/>
        <v>-8</v>
      </c>
      <c r="D33" s="20">
        <f t="shared" ref="D33:E33" si="14">-D19-D20-D21</f>
        <v>-26</v>
      </c>
      <c r="E33" s="20">
        <f t="shared" si="14"/>
        <v>5</v>
      </c>
      <c r="F33" s="20">
        <f t="shared" ref="F33:K33" si="15">-F19-F20-F21</f>
        <v>-21</v>
      </c>
      <c r="G33" s="20">
        <f t="shared" si="15"/>
        <v>-21</v>
      </c>
      <c r="H33" s="20">
        <f t="shared" si="15"/>
        <v>-13</v>
      </c>
      <c r="I33" s="20">
        <f t="shared" si="15"/>
        <v>-27</v>
      </c>
      <c r="J33" s="20">
        <f t="shared" si="15"/>
        <v>-29</v>
      </c>
      <c r="K33" s="20">
        <f t="shared" si="15"/>
        <v>-31</v>
      </c>
      <c r="L33" s="20"/>
      <c r="M33" s="20"/>
      <c r="N33" s="20"/>
      <c r="O33" s="20"/>
    </row>
    <row r="34" spans="1:18" s="33" customFormat="1">
      <c r="A34" s="20" t="s">
        <v>57</v>
      </c>
      <c r="B34" s="29">
        <f t="shared" ref="B34:C34" si="16">B35-B29-B30-B32-B31-B33</f>
        <v>2</v>
      </c>
      <c r="C34" s="29">
        <f t="shared" si="16"/>
        <v>1</v>
      </c>
      <c r="D34" s="29">
        <f t="shared" ref="D34:E34" si="17">D35-D29-D30-D32-D31-D33</f>
        <v>13</v>
      </c>
      <c r="E34" s="29">
        <f t="shared" si="17"/>
        <v>-29</v>
      </c>
      <c r="F34" s="29">
        <f t="shared" ref="F34:K34" si="18">F35-F29-F30-F32-F31-F33</f>
        <v>2</v>
      </c>
      <c r="G34" s="29">
        <f t="shared" si="18"/>
        <v>-1</v>
      </c>
      <c r="H34" s="29">
        <f t="shared" si="18"/>
        <v>6</v>
      </c>
      <c r="I34" s="29">
        <f t="shared" si="18"/>
        <v>-4</v>
      </c>
      <c r="J34" s="29">
        <f t="shared" si="18"/>
        <v>8</v>
      </c>
      <c r="K34" s="29">
        <f t="shared" si="18"/>
        <v>4</v>
      </c>
      <c r="L34" s="29"/>
      <c r="M34" s="29"/>
      <c r="N34" s="29"/>
      <c r="O34" s="29"/>
    </row>
    <row r="35" spans="1:18" s="27" customFormat="1">
      <c r="A35" s="27" t="s">
        <v>67</v>
      </c>
      <c r="B35" s="27">
        <f>78+B30</f>
        <v>35</v>
      </c>
      <c r="C35" s="27">
        <f>27+C30</f>
        <v>17</v>
      </c>
      <c r="D35" s="27">
        <f>107+D30</f>
        <v>69</v>
      </c>
      <c r="E35" s="27">
        <f>29+E30</f>
        <v>19</v>
      </c>
      <c r="F35" s="27">
        <f>46+F30</f>
        <v>21</v>
      </c>
      <c r="G35" s="27">
        <f>-51+G30</f>
        <v>-69</v>
      </c>
      <c r="H35" s="27">
        <f>40+H30</f>
        <v>26</v>
      </c>
      <c r="I35" s="27">
        <f>57+I30</f>
        <v>33</v>
      </c>
      <c r="J35" s="27">
        <f>40+J30</f>
        <v>10</v>
      </c>
      <c r="K35" s="27">
        <f>55+K30</f>
        <v>34</v>
      </c>
    </row>
    <row r="36" spans="1:18" s="33" customFormat="1">
      <c r="A36" s="20" t="s">
        <v>68</v>
      </c>
      <c r="B36" s="29">
        <v>-14</v>
      </c>
      <c r="C36" s="29">
        <v>-9</v>
      </c>
      <c r="D36" s="29">
        <v>-28</v>
      </c>
      <c r="E36" s="29">
        <v>-14</v>
      </c>
      <c r="F36" s="29">
        <v>-15</v>
      </c>
      <c r="G36" s="29">
        <v>-13</v>
      </c>
      <c r="H36" s="29">
        <v>-32</v>
      </c>
      <c r="I36" s="29">
        <v>-15</v>
      </c>
      <c r="J36" s="29">
        <v>-15</v>
      </c>
      <c r="K36" s="29">
        <v>-17</v>
      </c>
      <c r="L36" s="29"/>
      <c r="M36" s="29"/>
      <c r="N36" s="29"/>
      <c r="O36" s="29"/>
    </row>
    <row r="37" spans="1:18" s="27" customFormat="1">
      <c r="A37" s="27" t="s">
        <v>69</v>
      </c>
      <c r="B37" s="27">
        <f t="shared" ref="B37:K37" si="19">B35+B36</f>
        <v>21</v>
      </c>
      <c r="C37" s="27">
        <f t="shared" si="19"/>
        <v>8</v>
      </c>
      <c r="D37" s="27">
        <f t="shared" si="19"/>
        <v>41</v>
      </c>
      <c r="E37" s="27">
        <f t="shared" si="19"/>
        <v>5</v>
      </c>
      <c r="F37" s="27">
        <f t="shared" si="19"/>
        <v>6</v>
      </c>
      <c r="G37" s="27">
        <f t="shared" si="19"/>
        <v>-82</v>
      </c>
      <c r="H37" s="27">
        <f t="shared" si="19"/>
        <v>-6</v>
      </c>
      <c r="I37" s="27">
        <f t="shared" si="19"/>
        <v>18</v>
      </c>
      <c r="J37" s="27">
        <f t="shared" si="19"/>
        <v>-5</v>
      </c>
      <c r="K37" s="27">
        <f t="shared" si="19"/>
        <v>17</v>
      </c>
    </row>
    <row r="39" spans="1:18" s="35" customFormat="1">
      <c r="A39" s="34" t="s">
        <v>70</v>
      </c>
      <c r="B39" s="20">
        <v>39</v>
      </c>
      <c r="C39" s="20">
        <v>55</v>
      </c>
      <c r="D39" s="20">
        <v>79</v>
      </c>
      <c r="E39" s="20">
        <v>50</v>
      </c>
      <c r="F39" s="20">
        <v>143</v>
      </c>
      <c r="G39" s="20">
        <v>140</v>
      </c>
      <c r="H39" s="20">
        <v>0</v>
      </c>
      <c r="I39" s="20">
        <v>0</v>
      </c>
      <c r="J39" s="20">
        <v>9</v>
      </c>
      <c r="K39" s="20">
        <v>27</v>
      </c>
      <c r="L39" s="20"/>
      <c r="M39" s="20"/>
      <c r="N39" s="20">
        <v>0</v>
      </c>
      <c r="O39" s="20"/>
      <c r="Q39" s="33"/>
      <c r="R39" s="33">
        <f>225*0.8528</f>
        <v>191.88</v>
      </c>
    </row>
    <row r="40" spans="1:18" s="35" customFormat="1">
      <c r="A40" s="34" t="s">
        <v>71</v>
      </c>
      <c r="B40" s="20">
        <f>980+328</f>
        <v>1308</v>
      </c>
      <c r="C40" s="20">
        <f>980+333</f>
        <v>1313</v>
      </c>
      <c r="D40" s="20">
        <f>980+319</f>
        <v>1299</v>
      </c>
      <c r="E40" s="20">
        <f>980+336</f>
        <v>1316</v>
      </c>
      <c r="F40" s="20">
        <f>980+349</f>
        <v>1329</v>
      </c>
      <c r="G40" s="20">
        <f>980+364</f>
        <v>1344</v>
      </c>
      <c r="H40" s="20">
        <f>980+359</f>
        <v>1339</v>
      </c>
      <c r="I40" s="20">
        <f>980+365</f>
        <v>1345</v>
      </c>
      <c r="J40" s="20">
        <f>980+350</f>
        <v>1330</v>
      </c>
      <c r="K40" s="20">
        <f>980+356</f>
        <v>1336</v>
      </c>
      <c r="L40" s="20"/>
      <c r="M40" s="20"/>
      <c r="N40" s="20">
        <v>1485</v>
      </c>
      <c r="O40" s="20"/>
      <c r="Q40" s="33"/>
      <c r="R40" s="33">
        <f>R39-B39</f>
        <v>152.88</v>
      </c>
    </row>
    <row r="41" spans="1:18" s="35" customFormat="1">
      <c r="A41" s="34" t="s">
        <v>72</v>
      </c>
      <c r="B41" s="20">
        <f>+B39+B40+205+55</f>
        <v>1607</v>
      </c>
      <c r="C41" s="20">
        <f>C39+C40+205+55</f>
        <v>1628</v>
      </c>
      <c r="D41" s="20">
        <f>D39+D40+205+53</f>
        <v>1636</v>
      </c>
      <c r="E41" s="20">
        <f>E39+E40+205+56</f>
        <v>1627</v>
      </c>
      <c r="F41" s="20">
        <f>F39+F40+205+58</f>
        <v>1735</v>
      </c>
      <c r="G41" s="20">
        <f>G39+G40+205+60</f>
        <v>1749</v>
      </c>
      <c r="H41" s="20">
        <f>H39+H40+205+59</f>
        <v>1603</v>
      </c>
      <c r="I41" s="20">
        <f>I39+I40+205+59</f>
        <v>1609</v>
      </c>
      <c r="J41" s="20">
        <f>J39+J40+205+58</f>
        <v>1602</v>
      </c>
      <c r="K41" s="20">
        <f>K39+K40+205+57</f>
        <v>1625</v>
      </c>
      <c r="L41" s="20"/>
      <c r="M41" s="20"/>
      <c r="N41" s="20">
        <v>1823</v>
      </c>
      <c r="O41" s="20"/>
      <c r="Q41" s="33"/>
      <c r="R41" s="33">
        <f>B44</f>
        <v>59</v>
      </c>
    </row>
    <row r="42" spans="1:18" s="35" customFormat="1">
      <c r="A42" s="34" t="s">
        <v>73</v>
      </c>
      <c r="B42" s="36">
        <v>1300</v>
      </c>
      <c r="C42" s="36">
        <v>1300</v>
      </c>
      <c r="D42" s="36">
        <v>1300</v>
      </c>
      <c r="E42" s="36">
        <v>1300</v>
      </c>
      <c r="F42" s="36">
        <v>1300</v>
      </c>
      <c r="G42" s="36">
        <v>1300</v>
      </c>
      <c r="H42" s="36">
        <v>1300</v>
      </c>
      <c r="I42" s="36">
        <v>1300</v>
      </c>
      <c r="J42" s="36">
        <v>1300</v>
      </c>
      <c r="K42" s="36">
        <f>N42</f>
        <v>1300</v>
      </c>
      <c r="L42" s="36"/>
      <c r="M42" s="36"/>
      <c r="N42" s="36">
        <v>1300</v>
      </c>
      <c r="O42" s="36"/>
      <c r="R42" s="33">
        <f>R40+R41</f>
        <v>211.88</v>
      </c>
    </row>
    <row r="43" spans="1:18">
      <c r="B43" s="35"/>
      <c r="C43" s="35"/>
      <c r="D43" s="35"/>
      <c r="E43" s="35"/>
      <c r="F43" s="35"/>
      <c r="G43" s="35"/>
      <c r="H43" s="35"/>
      <c r="I43" s="35"/>
      <c r="J43" s="35"/>
      <c r="K43" s="35"/>
      <c r="L43" s="35"/>
      <c r="M43" s="35"/>
      <c r="N43" s="35"/>
      <c r="O43" s="35"/>
    </row>
    <row r="44" spans="1:18">
      <c r="A44" s="19" t="s">
        <v>74</v>
      </c>
      <c r="B44" s="28">
        <v>59</v>
      </c>
      <c r="C44" s="28">
        <v>59</v>
      </c>
      <c r="D44" s="28">
        <v>110</v>
      </c>
      <c r="E44" s="28">
        <v>61</v>
      </c>
      <c r="F44" s="28">
        <v>96</v>
      </c>
      <c r="G44" s="28">
        <v>119</v>
      </c>
      <c r="H44" s="28">
        <v>68</v>
      </c>
      <c r="I44" s="28">
        <v>184</v>
      </c>
      <c r="J44" s="28">
        <v>28</v>
      </c>
      <c r="K44" s="28">
        <v>55</v>
      </c>
      <c r="L44" s="28"/>
      <c r="M44" s="28"/>
      <c r="N44" s="28">
        <v>64</v>
      </c>
      <c r="O44" s="28"/>
    </row>
    <row r="46" spans="1:18">
      <c r="A46" s="14" t="s">
        <v>75</v>
      </c>
      <c r="B46" s="58">
        <f t="shared" ref="B46:H46" si="20">SUM(B12:E12)</f>
        <v>1383</v>
      </c>
      <c r="C46" s="58">
        <f t="shared" si="20"/>
        <v>1336</v>
      </c>
      <c r="D46" s="58">
        <f t="shared" si="20"/>
        <v>1330</v>
      </c>
      <c r="E46" s="58">
        <f t="shared" si="20"/>
        <v>1377</v>
      </c>
      <c r="F46" s="58">
        <f t="shared" si="20"/>
        <v>1382</v>
      </c>
      <c r="G46" s="58">
        <f t="shared" si="20"/>
        <v>1413</v>
      </c>
      <c r="H46" s="58">
        <f t="shared" si="20"/>
        <v>1468</v>
      </c>
      <c r="I46" s="51">
        <f>(I12+J12+K12)/3*4</f>
        <v>1388</v>
      </c>
      <c r="J46" s="51"/>
      <c r="K46" s="51"/>
      <c r="L46" s="51"/>
      <c r="M46" s="51"/>
      <c r="N46" s="51">
        <v>1535</v>
      </c>
      <c r="O46" s="33"/>
    </row>
    <row r="47" spans="1:18">
      <c r="A47" s="14" t="s">
        <v>76</v>
      </c>
      <c r="B47" s="58">
        <f t="shared" ref="B47:C47" si="21">B27</f>
        <v>315</v>
      </c>
      <c r="C47" s="58">
        <f t="shared" si="21"/>
        <v>295</v>
      </c>
      <c r="D47" s="58">
        <f t="shared" ref="D47:E47" si="22">D27</f>
        <v>279</v>
      </c>
      <c r="E47" s="58">
        <f t="shared" si="22"/>
        <v>287</v>
      </c>
      <c r="F47" s="58">
        <f t="shared" ref="F47:K47" si="23">F27</f>
        <v>304</v>
      </c>
      <c r="G47" s="58">
        <f t="shared" si="23"/>
        <v>317</v>
      </c>
      <c r="H47" s="58">
        <f t="shared" si="23"/>
        <v>324</v>
      </c>
      <c r="I47" s="58">
        <f t="shared" si="23"/>
        <v>301</v>
      </c>
      <c r="J47" s="58">
        <f t="shared" si="23"/>
        <v>307</v>
      </c>
      <c r="K47" s="58">
        <f t="shared" si="23"/>
        <v>311</v>
      </c>
      <c r="L47" s="51"/>
      <c r="M47" s="51"/>
      <c r="N47" s="51">
        <v>295</v>
      </c>
      <c r="O47" s="33"/>
    </row>
    <row r="48" spans="1:18">
      <c r="A48" s="14" t="s">
        <v>77</v>
      </c>
      <c r="B48" s="58">
        <f t="shared" ref="B48:H48" si="24">SUM(B37:E37)</f>
        <v>75</v>
      </c>
      <c r="C48" s="58">
        <f t="shared" si="24"/>
        <v>60</v>
      </c>
      <c r="D48" s="58">
        <f t="shared" si="24"/>
        <v>-30</v>
      </c>
      <c r="E48" s="58">
        <f t="shared" si="24"/>
        <v>-77</v>
      </c>
      <c r="F48" s="58">
        <f t="shared" si="24"/>
        <v>-64</v>
      </c>
      <c r="G48" s="58">
        <f t="shared" si="24"/>
        <v>-75</v>
      </c>
      <c r="H48" s="58">
        <f t="shared" si="24"/>
        <v>24</v>
      </c>
      <c r="I48" s="51"/>
      <c r="J48" s="51"/>
      <c r="K48" s="51"/>
      <c r="L48" s="51"/>
      <c r="M48" s="51"/>
      <c r="N48" s="51">
        <v>129.56058000000002</v>
      </c>
      <c r="O48" s="33"/>
    </row>
    <row r="50" spans="1:15" s="37" customFormat="1">
      <c r="A50" s="37" t="s">
        <v>78</v>
      </c>
      <c r="B50" s="37">
        <f t="shared" ref="B50:C50" si="25">+SUM(B39:B40)/B47</f>
        <v>4.2761904761904761</v>
      </c>
      <c r="C50" s="37">
        <f t="shared" si="25"/>
        <v>4.6372881355932201</v>
      </c>
      <c r="D50" s="37">
        <f t="shared" ref="D50:E50" si="26">+SUM(D39:D40)/D47</f>
        <v>4.9390681003584227</v>
      </c>
      <c r="E50" s="37">
        <f t="shared" si="26"/>
        <v>4.7595818815331015</v>
      </c>
      <c r="F50" s="37">
        <f t="shared" ref="F50:K50" si="27">+SUM(F39:F40)/F47</f>
        <v>4.8421052631578947</v>
      </c>
      <c r="G50" s="37">
        <f t="shared" si="27"/>
        <v>4.6813880126182967</v>
      </c>
      <c r="H50" s="37">
        <f t="shared" si="27"/>
        <v>4.132716049382716</v>
      </c>
      <c r="I50" s="37">
        <f t="shared" si="27"/>
        <v>4.4684385382059801</v>
      </c>
      <c r="J50" s="37">
        <f t="shared" si="27"/>
        <v>4.3615635179153092</v>
      </c>
      <c r="K50" s="37">
        <f t="shared" si="27"/>
        <v>4.382636655948553</v>
      </c>
      <c r="N50" s="37">
        <f>+SUM(N39:N40)/N47</f>
        <v>5.0338983050847457</v>
      </c>
    </row>
    <row r="51" spans="1:15" s="37" customFormat="1">
      <c r="A51" s="37" t="s">
        <v>79</v>
      </c>
      <c r="B51" s="37">
        <f t="shared" ref="B51:C51" si="28">+B41/B47</f>
        <v>5.1015873015873012</v>
      </c>
      <c r="C51" s="37">
        <f t="shared" si="28"/>
        <v>5.5186440677966102</v>
      </c>
      <c r="D51" s="37">
        <f t="shared" ref="D51:E51" si="29">+D41/D47</f>
        <v>5.8637992831541217</v>
      </c>
      <c r="E51" s="37">
        <f t="shared" si="29"/>
        <v>5.6689895470383274</v>
      </c>
      <c r="F51" s="37">
        <f t="shared" ref="F51:K51" si="30">+F41/F47</f>
        <v>5.7072368421052628</v>
      </c>
      <c r="G51" s="37">
        <f t="shared" si="30"/>
        <v>5.517350157728707</v>
      </c>
      <c r="H51" s="37">
        <f t="shared" si="30"/>
        <v>4.9475308641975309</v>
      </c>
      <c r="I51" s="37">
        <f t="shared" si="30"/>
        <v>5.3455149501661126</v>
      </c>
      <c r="J51" s="37">
        <f t="shared" si="30"/>
        <v>5.2182410423452765</v>
      </c>
      <c r="K51" s="37">
        <f t="shared" si="30"/>
        <v>5.22508038585209</v>
      </c>
      <c r="N51" s="37">
        <f>+N41/N47</f>
        <v>6.1796610169491526</v>
      </c>
    </row>
    <row r="52" spans="1:15" s="37" customFormat="1">
      <c r="A52" s="37" t="s">
        <v>80</v>
      </c>
      <c r="B52" s="37">
        <f t="shared" ref="B52:C52" si="31">+(B41-B44)/B47</f>
        <v>4.9142857142857146</v>
      </c>
      <c r="C52" s="37">
        <f t="shared" si="31"/>
        <v>5.31864406779661</v>
      </c>
      <c r="D52" s="37">
        <f t="shared" ref="D52:E52" si="32">+(D41-D44)/D47</f>
        <v>5.4695340501792113</v>
      </c>
      <c r="E52" s="37">
        <f t="shared" si="32"/>
        <v>5.4564459930313589</v>
      </c>
      <c r="F52" s="37">
        <f t="shared" ref="F52:K52" si="33">+(F41-F44)/F47</f>
        <v>5.3914473684210522</v>
      </c>
      <c r="G52" s="37">
        <f t="shared" si="33"/>
        <v>5.1419558359621451</v>
      </c>
      <c r="H52" s="37">
        <f t="shared" si="33"/>
        <v>4.7376543209876543</v>
      </c>
      <c r="I52" s="37">
        <f t="shared" si="33"/>
        <v>4.7342192691029901</v>
      </c>
      <c r="J52" s="37">
        <f t="shared" si="33"/>
        <v>5.1270358306188921</v>
      </c>
      <c r="K52" s="37">
        <f t="shared" si="33"/>
        <v>5.048231511254019</v>
      </c>
      <c r="N52" s="37">
        <f>+(N41-N44)/N47</f>
        <v>5.9627118644067796</v>
      </c>
    </row>
    <row r="53" spans="1:15" s="38" customFormat="1">
      <c r="A53" s="38" t="s">
        <v>81</v>
      </c>
      <c r="B53" s="38">
        <f t="shared" ref="B53:C53" si="34">+B48/B41</f>
        <v>4.667081518357187E-2</v>
      </c>
      <c r="C53" s="38">
        <f t="shared" si="34"/>
        <v>3.6855036855036855E-2</v>
      </c>
      <c r="D53" s="38">
        <f t="shared" ref="D53:E53" si="35">+D48/D41</f>
        <v>-1.8337408312958436E-2</v>
      </c>
      <c r="E53" s="38">
        <f t="shared" si="35"/>
        <v>-4.7326367547633683E-2</v>
      </c>
      <c r="F53" s="38">
        <f t="shared" ref="F53:K53" si="36">+F48/F41</f>
        <v>-3.6887608069164267E-2</v>
      </c>
      <c r="G53" s="38">
        <f t="shared" si="36"/>
        <v>-4.2881646655231559E-2</v>
      </c>
      <c r="H53" s="38">
        <f t="shared" si="36"/>
        <v>1.4971927635683094E-2</v>
      </c>
      <c r="I53" s="38">
        <f t="shared" si="36"/>
        <v>0</v>
      </c>
      <c r="J53" s="38">
        <f t="shared" si="36"/>
        <v>0</v>
      </c>
      <c r="K53" s="38">
        <f t="shared" si="36"/>
        <v>0</v>
      </c>
      <c r="N53" s="38">
        <f>+N48/N41</f>
        <v>7.1069983543609438E-2</v>
      </c>
    </row>
    <row r="54" spans="1:15" s="38" customFormat="1">
      <c r="A54" s="39" t="s">
        <v>82</v>
      </c>
      <c r="B54" s="40"/>
      <c r="C54" s="40"/>
      <c r="D54" s="40"/>
      <c r="E54" s="40"/>
      <c r="F54" s="40"/>
      <c r="G54" s="40"/>
      <c r="H54" s="40"/>
      <c r="I54" s="40"/>
      <c r="J54" s="40"/>
      <c r="K54" s="40"/>
      <c r="L54" s="40"/>
      <c r="M54" s="40"/>
      <c r="N54" s="40"/>
      <c r="O54" s="40"/>
    </row>
    <row r="55" spans="1:15" s="38" customFormat="1">
      <c r="A55" s="38" t="s">
        <v>83</v>
      </c>
      <c r="B55" s="41">
        <f t="shared" ref="B55:C55" si="37">IF(B42=0,IF(B54="","","*"&amp;TEXT(B54,"0.0x")),(B41+B42-B44)/B47)</f>
        <v>9.0412698412698411</v>
      </c>
      <c r="C55" s="41">
        <f t="shared" si="37"/>
        <v>9.7254237288135599</v>
      </c>
      <c r="D55" s="41">
        <f t="shared" ref="D55:E55" si="38">IF(D42=0,IF(D54="","","*"&amp;TEXT(D54,"0.0x")),(D41+D42-D44)/D47)</f>
        <v>10.129032258064516</v>
      </c>
      <c r="E55" s="41">
        <f t="shared" si="38"/>
        <v>9.9860627177700341</v>
      </c>
      <c r="F55" s="41">
        <f t="shared" ref="F55:K55" si="39">IF(F42=0,IF(F54="","","*"&amp;TEXT(F54,"0.0x")),(F41+F42-F44)/F47)</f>
        <v>9.6677631578947363</v>
      </c>
      <c r="G55" s="41">
        <f t="shared" si="39"/>
        <v>9.2429022082018921</v>
      </c>
      <c r="H55" s="41">
        <f t="shared" si="39"/>
        <v>8.75</v>
      </c>
      <c r="I55" s="41">
        <f t="shared" si="39"/>
        <v>9.0531561461794023</v>
      </c>
      <c r="J55" s="41">
        <f t="shared" si="39"/>
        <v>9.3615635179153092</v>
      </c>
      <c r="K55" s="41">
        <f t="shared" si="39"/>
        <v>9.2282958199356919</v>
      </c>
      <c r="L55" s="41"/>
      <c r="M55" s="41"/>
      <c r="N55" s="41">
        <f>IF(N42=0,IF(N54="","","*"&amp;TEXT(N54,"0.0x")),(N41+N42-N44)/N47)</f>
        <v>10.369491525423729</v>
      </c>
      <c r="O55" s="41"/>
    </row>
    <row r="57" spans="1:15" ht="80.25" customHeight="1">
      <c r="A57" s="43" t="s">
        <v>84</v>
      </c>
      <c r="B57" s="44" t="s">
        <v>447</v>
      </c>
      <c r="C57" s="44" t="s">
        <v>447</v>
      </c>
      <c r="D57" s="44" t="s">
        <v>447</v>
      </c>
      <c r="E57" s="44" t="s">
        <v>447</v>
      </c>
      <c r="F57" s="44" t="s">
        <v>447</v>
      </c>
      <c r="G57" s="44" t="s">
        <v>447</v>
      </c>
      <c r="H57" s="44" t="s">
        <v>447</v>
      </c>
      <c r="I57" s="44" t="s">
        <v>447</v>
      </c>
      <c r="J57" s="44" t="s">
        <v>447</v>
      </c>
      <c r="K57" s="44" t="s">
        <v>447</v>
      </c>
      <c r="L57" s="44"/>
      <c r="M57" s="44"/>
      <c r="N57" s="44" t="s">
        <v>446</v>
      </c>
      <c r="O57" s="44"/>
    </row>
    <row r="58" spans="1:15">
      <c r="A58" s="45"/>
      <c r="B58" s="42"/>
      <c r="C58" s="42"/>
      <c r="D58" s="42"/>
      <c r="E58" s="42"/>
      <c r="F58" s="42"/>
      <c r="G58" s="42"/>
      <c r="H58" s="42"/>
      <c r="I58" s="42"/>
      <c r="J58" s="42"/>
      <c r="K58" s="42"/>
      <c r="L58" s="42"/>
      <c r="M58" s="42"/>
      <c r="N58" s="42"/>
    </row>
    <row r="59" spans="1:15">
      <c r="A59" s="45"/>
    </row>
  </sheetData>
  <pageMargins left="0.7" right="0.7" top="0.75" bottom="0.75" header="0.3" footer="0.3"/>
  <pageSetup orientation="portrait" r:id="rId1"/>
  <ignoredErrors>
    <ignoredError sqref="N50 G24:H24 E46:J58 E25:G27 E24:F24 D46" formulaRange="1"/>
    <ignoredError sqref="I35" formula="1"/>
    <ignoredError sqref="D24 B24:C24 B26:C26 C25" evalError="1" formulaRange="1"/>
    <ignoredError sqref="B17:D21 D25:D26 C23:D23 C22:D22" evalError="1"/>
  </ignoredErrors>
  <legacyDrawing r:id="rId2"/>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2:H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ColWidth="9.109375" defaultRowHeight="13.8"/>
  <cols>
    <col min="1" max="1" width="22.6640625" style="14" customWidth="1"/>
    <col min="2" max="8" width="10.6640625" style="14" customWidth="1"/>
    <col min="9" max="16384" width="9.109375" style="14"/>
  </cols>
  <sheetData>
    <row r="2" spans="1:8">
      <c r="A2" s="13" t="s">
        <v>44</v>
      </c>
      <c r="B2" s="14" t="s">
        <v>319</v>
      </c>
    </row>
    <row r="3" spans="1:8" s="16" customFormat="1">
      <c r="A3" s="15" t="s">
        <v>45</v>
      </c>
      <c r="B3" s="16" t="s">
        <v>322</v>
      </c>
    </row>
    <row r="4" spans="1:8">
      <c r="A4" s="13" t="s">
        <v>2</v>
      </c>
      <c r="B4" s="14" t="s">
        <v>4</v>
      </c>
    </row>
    <row r="5" spans="1:8">
      <c r="A5" s="13" t="s">
        <v>46</v>
      </c>
    </row>
    <row r="6" spans="1:8">
      <c r="A6" s="13" t="s">
        <v>47</v>
      </c>
    </row>
    <row r="7" spans="1:8">
      <c r="A7" s="13" t="s">
        <v>48</v>
      </c>
      <c r="B7" s="14" t="e">
        <v>#N/A</v>
      </c>
    </row>
    <row r="8" spans="1:8">
      <c r="A8" s="13" t="s">
        <v>347</v>
      </c>
      <c r="B8" s="14" t="s">
        <v>356</v>
      </c>
    </row>
    <row r="9" spans="1:8">
      <c r="A9" s="17"/>
    </row>
    <row r="10" spans="1:8">
      <c r="A10" s="17" t="s">
        <v>49</v>
      </c>
      <c r="B10" s="18">
        <v>43311</v>
      </c>
      <c r="C10" s="18">
        <f>EOMONTH(B10,-3)</f>
        <v>43220</v>
      </c>
      <c r="D10" s="18">
        <f t="shared" ref="D10:H10" si="0">EOMONTH(C10,-3)</f>
        <v>43131</v>
      </c>
      <c r="E10" s="18">
        <f t="shared" si="0"/>
        <v>43039</v>
      </c>
      <c r="F10" s="18">
        <f t="shared" si="0"/>
        <v>42947</v>
      </c>
      <c r="G10" s="18">
        <f t="shared" si="0"/>
        <v>42855</v>
      </c>
      <c r="H10" s="18">
        <f t="shared" si="0"/>
        <v>42766</v>
      </c>
    </row>
    <row r="12" spans="1:8">
      <c r="A12" s="19" t="s">
        <v>50</v>
      </c>
      <c r="B12" s="20">
        <v>837.24800000000005</v>
      </c>
      <c r="C12" s="20">
        <v>771.46</v>
      </c>
      <c r="D12" s="20">
        <v>724.51</v>
      </c>
      <c r="E12" s="20">
        <v>724.404</v>
      </c>
      <c r="F12" s="20">
        <v>753.33900000000006</v>
      </c>
      <c r="G12" s="20">
        <v>679.08500000000004</v>
      </c>
      <c r="H12" s="20">
        <v>625.601</v>
      </c>
    </row>
    <row r="13" spans="1:8" s="21" customFormat="1">
      <c r="A13" s="21" t="s">
        <v>51</v>
      </c>
      <c r="B13" s="21">
        <f>+B12/F12-1</f>
        <v>0.11138279048343436</v>
      </c>
      <c r="C13" s="21">
        <f>+C12/G12-1</f>
        <v>0.13602862675511895</v>
      </c>
      <c r="D13" s="21">
        <f>+D12/H12-1</f>
        <v>0.1581023687621983</v>
      </c>
    </row>
    <row r="14" spans="1:8" s="24" customFormat="1">
      <c r="A14" s="22" t="s">
        <v>52</v>
      </c>
      <c r="B14" s="23" t="s">
        <v>3</v>
      </c>
      <c r="C14" s="23" t="s">
        <v>3</v>
      </c>
      <c r="D14" s="23" t="s">
        <v>3</v>
      </c>
      <c r="E14" s="23"/>
      <c r="F14" s="22"/>
      <c r="G14" s="22"/>
      <c r="H14" s="22"/>
    </row>
    <row r="16" spans="1:8" s="17" customFormat="1">
      <c r="A16" s="25" t="s">
        <v>53</v>
      </c>
      <c r="B16" s="26">
        <v>69.877000000000024</v>
      </c>
      <c r="C16" s="26">
        <v>62.424999999999997</v>
      </c>
      <c r="D16" s="26">
        <v>47.134999999999991</v>
      </c>
      <c r="E16" s="26">
        <v>68.151000000000153</v>
      </c>
      <c r="F16" s="26">
        <v>74.180999999999997</v>
      </c>
      <c r="G16" s="26">
        <v>69.813000000000073</v>
      </c>
      <c r="H16" s="26">
        <v>48.741999999999983</v>
      </c>
    </row>
    <row r="17" spans="1:8" s="21" customFormat="1">
      <c r="A17" s="21" t="s">
        <v>54</v>
      </c>
      <c r="B17" s="21">
        <f>+B16/B12</f>
        <v>8.3460336722213757E-2</v>
      </c>
      <c r="C17" s="21">
        <f t="shared" ref="C17:H17" si="1">+C16/C12</f>
        <v>8.0917999637051818E-2</v>
      </c>
      <c r="D17" s="21">
        <f t="shared" si="1"/>
        <v>6.505776317787193E-2</v>
      </c>
      <c r="E17" s="21">
        <f t="shared" si="1"/>
        <v>9.4078718505143752E-2</v>
      </c>
      <c r="F17" s="21">
        <f t="shared" si="1"/>
        <v>9.846961328166999E-2</v>
      </c>
      <c r="G17" s="21">
        <f t="shared" si="1"/>
        <v>0.10280450900844529</v>
      </c>
      <c r="H17" s="21">
        <f t="shared" si="1"/>
        <v>7.791227955198278E-2</v>
      </c>
    </row>
    <row r="18" spans="1:8" s="24" customFormat="1"/>
    <row r="19" spans="1:8" s="24" customFormat="1">
      <c r="A19" s="19" t="s">
        <v>55</v>
      </c>
      <c r="B19" s="20">
        <v>0</v>
      </c>
      <c r="C19" s="20">
        <v>0</v>
      </c>
      <c r="D19" s="20">
        <v>0</v>
      </c>
      <c r="E19" s="20">
        <v>0</v>
      </c>
      <c r="F19" s="20">
        <v>0</v>
      </c>
      <c r="G19" s="20">
        <v>0</v>
      </c>
      <c r="H19" s="20">
        <v>0</v>
      </c>
    </row>
    <row r="20" spans="1:8" s="24" customFormat="1">
      <c r="A20" s="19" t="s">
        <v>56</v>
      </c>
      <c r="B20" s="20">
        <v>0</v>
      </c>
      <c r="C20" s="20">
        <v>0</v>
      </c>
      <c r="D20" s="20">
        <v>0</v>
      </c>
      <c r="E20" s="20">
        <v>0</v>
      </c>
      <c r="F20" s="20">
        <v>0</v>
      </c>
      <c r="G20" s="20">
        <v>0</v>
      </c>
      <c r="H20" s="20">
        <v>0</v>
      </c>
    </row>
    <row r="21" spans="1:8" s="24" customFormat="1">
      <c r="A21" s="19" t="s">
        <v>57</v>
      </c>
      <c r="B21" s="20">
        <v>0</v>
      </c>
      <c r="C21" s="20">
        <v>0</v>
      </c>
      <c r="D21" s="20">
        <v>0</v>
      </c>
      <c r="E21" s="20">
        <v>0</v>
      </c>
      <c r="F21" s="20">
        <v>0</v>
      </c>
      <c r="G21" s="20">
        <v>0</v>
      </c>
      <c r="H21" s="20">
        <v>0</v>
      </c>
    </row>
    <row r="22" spans="1:8" s="17" customFormat="1">
      <c r="A22" s="17" t="s">
        <v>58</v>
      </c>
      <c r="B22" s="27">
        <f>SUM(B16,B19:B21)</f>
        <v>69.877000000000024</v>
      </c>
      <c r="C22" s="27">
        <f t="shared" ref="C22:H22" si="2">SUM(C16,C19:C21)</f>
        <v>62.424999999999997</v>
      </c>
      <c r="D22" s="27">
        <f t="shared" si="2"/>
        <v>47.134999999999991</v>
      </c>
      <c r="E22" s="27">
        <f t="shared" si="2"/>
        <v>68.151000000000153</v>
      </c>
      <c r="F22" s="27">
        <f t="shared" si="2"/>
        <v>74.180999999999997</v>
      </c>
      <c r="G22" s="27">
        <f t="shared" si="2"/>
        <v>69.813000000000073</v>
      </c>
      <c r="H22" s="27">
        <f t="shared" si="2"/>
        <v>48.741999999999983</v>
      </c>
    </row>
    <row r="23" spans="1:8" s="17" customFormat="1">
      <c r="B23" s="27"/>
      <c r="C23" s="27"/>
      <c r="D23" s="27"/>
      <c r="E23" s="27"/>
      <c r="F23" s="27"/>
      <c r="G23" s="27"/>
      <c r="H23" s="27"/>
    </row>
    <row r="24" spans="1:8" s="17" customFormat="1">
      <c r="A24" s="17" t="s">
        <v>59</v>
      </c>
      <c r="B24" s="27">
        <f>SUM(B22:E22)</f>
        <v>247.58800000000016</v>
      </c>
      <c r="C24" s="27">
        <f>SUM(C22:F22)</f>
        <v>251.89200000000011</v>
      </c>
      <c r="D24" s="27">
        <f>SUM(D22:G22)</f>
        <v>259.2800000000002</v>
      </c>
      <c r="E24" s="27">
        <f>SUM(E22:H22)</f>
        <v>260.88700000000023</v>
      </c>
      <c r="F24" s="27"/>
      <c r="G24" s="27"/>
      <c r="H24" s="27"/>
    </row>
    <row r="25" spans="1:8" s="24" customFormat="1">
      <c r="A25" s="19" t="s">
        <v>60</v>
      </c>
      <c r="B25" s="28">
        <v>0</v>
      </c>
      <c r="C25" s="28">
        <v>0</v>
      </c>
      <c r="D25" s="28">
        <v>0</v>
      </c>
      <c r="E25" s="28">
        <v>0</v>
      </c>
      <c r="F25" s="28"/>
      <c r="G25" s="28"/>
      <c r="H25" s="28"/>
    </row>
    <row r="26" spans="1:8" s="24" customFormat="1">
      <c r="A26" s="19" t="s">
        <v>61</v>
      </c>
      <c r="B26" s="29">
        <v>0</v>
      </c>
      <c r="C26" s="29">
        <v>0</v>
      </c>
      <c r="D26" s="29">
        <v>0</v>
      </c>
      <c r="E26" s="29">
        <v>0</v>
      </c>
      <c r="F26" s="29"/>
      <c r="G26" s="30"/>
      <c r="H26" s="30"/>
    </row>
    <row r="27" spans="1:8" s="32" customFormat="1">
      <c r="A27" s="17" t="s">
        <v>62</v>
      </c>
      <c r="B27" s="27">
        <f>SUM(B24:B26)</f>
        <v>247.58800000000016</v>
      </c>
      <c r="C27" s="27">
        <f>SUM(C24:C26)</f>
        <v>251.89200000000011</v>
      </c>
      <c r="D27" s="27">
        <f>SUM(D24:D26)</f>
        <v>259.2800000000002</v>
      </c>
      <c r="E27" s="27">
        <f>SUM(E24:E26)</f>
        <v>260.88700000000023</v>
      </c>
      <c r="F27" s="27"/>
      <c r="G27" s="31"/>
      <c r="H27" s="31"/>
    </row>
    <row r="28" spans="1:8" s="24" customFormat="1"/>
    <row r="29" spans="1:8" s="17" customFormat="1">
      <c r="A29" s="17" t="s">
        <v>58</v>
      </c>
      <c r="B29" s="27">
        <f t="shared" ref="B29:H29" si="3">B22</f>
        <v>69.877000000000024</v>
      </c>
      <c r="C29" s="27">
        <f t="shared" si="3"/>
        <v>62.424999999999997</v>
      </c>
      <c r="D29" s="27">
        <f t="shared" si="3"/>
        <v>47.134999999999991</v>
      </c>
      <c r="E29" s="27">
        <f t="shared" si="3"/>
        <v>68.151000000000153</v>
      </c>
      <c r="F29" s="27">
        <f t="shared" si="3"/>
        <v>74.180999999999997</v>
      </c>
      <c r="G29" s="27">
        <f t="shared" si="3"/>
        <v>69.813000000000073</v>
      </c>
      <c r="H29" s="27">
        <f t="shared" si="3"/>
        <v>48.741999999999983</v>
      </c>
    </row>
    <row r="30" spans="1:8" s="33" customFormat="1">
      <c r="A30" s="20" t="s">
        <v>63</v>
      </c>
      <c r="B30" s="20">
        <v>-19.991</v>
      </c>
      <c r="C30" s="20">
        <v>-22.8</v>
      </c>
      <c r="D30" s="20">
        <v>-22.861999999999998</v>
      </c>
      <c r="E30" s="20">
        <v>-16.122999999999998</v>
      </c>
      <c r="F30" s="20">
        <v>-14.093999999999999</v>
      </c>
      <c r="G30" s="20">
        <v>-14.148</v>
      </c>
      <c r="H30" s="20">
        <v>-13.473000000000001</v>
      </c>
    </row>
    <row r="31" spans="1:8" s="33" customFormat="1">
      <c r="A31" s="20" t="s">
        <v>64</v>
      </c>
      <c r="B31" s="20">
        <v>-6.0000000000000001E-3</v>
      </c>
      <c r="C31" s="20">
        <v>-0.753</v>
      </c>
      <c r="D31" s="20">
        <v>18.536000000000001</v>
      </c>
      <c r="E31" s="20">
        <v>9.8179999999999996</v>
      </c>
      <c r="F31" s="20">
        <v>-5.8049999999999997</v>
      </c>
      <c r="G31" s="20">
        <v>-3.6280000000000001</v>
      </c>
      <c r="H31" s="20">
        <v>0.154</v>
      </c>
    </row>
    <row r="32" spans="1:8" s="33" customFormat="1">
      <c r="A32" s="20" t="s">
        <v>65</v>
      </c>
      <c r="B32" s="20">
        <v>-20.582000000000008</v>
      </c>
      <c r="C32" s="20">
        <v>19.275999999999996</v>
      </c>
      <c r="D32" s="20">
        <v>-81.225000000000009</v>
      </c>
      <c r="E32" s="20">
        <v>15.040000000000001</v>
      </c>
      <c r="F32" s="20">
        <v>25.345999999999997</v>
      </c>
      <c r="G32" s="20">
        <v>-34.392000000000003</v>
      </c>
      <c r="H32" s="20">
        <v>-25.193000000000005</v>
      </c>
    </row>
    <row r="33" spans="1:8" s="33" customFormat="1">
      <c r="A33" s="20" t="s">
        <v>66</v>
      </c>
      <c r="B33" s="20">
        <f t="shared" ref="B33:H33" si="4">-B19-B20-B21</f>
        <v>0</v>
      </c>
      <c r="C33" s="20">
        <f t="shared" si="4"/>
        <v>0</v>
      </c>
      <c r="D33" s="20">
        <f t="shared" si="4"/>
        <v>0</v>
      </c>
      <c r="E33" s="20">
        <f t="shared" si="4"/>
        <v>0</v>
      </c>
      <c r="F33" s="20">
        <f t="shared" si="4"/>
        <v>0</v>
      </c>
      <c r="G33" s="20">
        <f t="shared" si="4"/>
        <v>0</v>
      </c>
      <c r="H33" s="20">
        <f t="shared" si="4"/>
        <v>0</v>
      </c>
    </row>
    <row r="34" spans="1:8" s="33" customFormat="1">
      <c r="A34" s="20" t="s">
        <v>57</v>
      </c>
      <c r="B34" s="29">
        <f t="shared" ref="B34:H34" si="5">B35-B29-B30-B31-B32-B33</f>
        <v>0.60000000000000142</v>
      </c>
      <c r="C34" s="29">
        <f t="shared" si="5"/>
        <v>3.5527136788005009E-15</v>
      </c>
      <c r="D34" s="29">
        <f t="shared" si="5"/>
        <v>0</v>
      </c>
      <c r="E34" s="29">
        <f t="shared" si="5"/>
        <v>-0.26200000000000401</v>
      </c>
      <c r="F34" s="29">
        <f t="shared" si="5"/>
        <v>1.2240000000000109</v>
      </c>
      <c r="G34" s="29">
        <f t="shared" si="5"/>
        <v>7.1054273576010019E-15</v>
      </c>
      <c r="H34" s="29">
        <f t="shared" si="5"/>
        <v>-6.8049999999999962</v>
      </c>
    </row>
    <row r="35" spans="1:8" s="27" customFormat="1">
      <c r="A35" s="27" t="s">
        <v>67</v>
      </c>
      <c r="B35" s="27">
        <f t="shared" ref="B35:H35" si="6">B37-B36</f>
        <v>29.898000000000017</v>
      </c>
      <c r="C35" s="27">
        <f t="shared" si="6"/>
        <v>58.147999999999996</v>
      </c>
      <c r="D35" s="27">
        <f t="shared" si="6"/>
        <v>-38.416000000000011</v>
      </c>
      <c r="E35" s="27">
        <f t="shared" si="6"/>
        <v>76.624000000000152</v>
      </c>
      <c r="F35" s="27">
        <f t="shared" si="6"/>
        <v>80.852000000000004</v>
      </c>
      <c r="G35" s="27">
        <f t="shared" si="6"/>
        <v>17.645000000000074</v>
      </c>
      <c r="H35" s="27">
        <f t="shared" si="6"/>
        <v>3.4249999999999829</v>
      </c>
    </row>
    <row r="36" spans="1:8" s="33" customFormat="1">
      <c r="A36" s="20" t="s">
        <v>68</v>
      </c>
      <c r="B36" s="29">
        <v>-34.332999999999991</v>
      </c>
      <c r="C36" s="29">
        <v>-32.635000000000005</v>
      </c>
      <c r="D36" s="29">
        <v>-31.254000000000001</v>
      </c>
      <c r="E36" s="29">
        <v>-41.640999999999991</v>
      </c>
      <c r="F36" s="29">
        <v>-45.043000000000006</v>
      </c>
      <c r="G36" s="29">
        <v>-57.035999999999994</v>
      </c>
      <c r="H36" s="29">
        <v>-44.987000000000002</v>
      </c>
    </row>
    <row r="37" spans="1:8" s="27" customFormat="1">
      <c r="A37" s="27" t="s">
        <v>69</v>
      </c>
      <c r="B37" s="46">
        <v>-4.4349999999999756</v>
      </c>
      <c r="C37" s="46">
        <v>25.512999999999991</v>
      </c>
      <c r="D37" s="46">
        <v>-69.670000000000016</v>
      </c>
      <c r="E37" s="46">
        <v>34.98300000000016</v>
      </c>
      <c r="F37" s="46">
        <v>35.80899999999999</v>
      </c>
      <c r="G37" s="46">
        <v>-39.39099999999992</v>
      </c>
      <c r="H37" s="46">
        <v>-41.562000000000019</v>
      </c>
    </row>
    <row r="39" spans="1:8" s="35" customFormat="1">
      <c r="A39" s="34" t="s">
        <v>70</v>
      </c>
      <c r="B39" s="20">
        <v>67.2</v>
      </c>
      <c r="C39" s="20">
        <v>64</v>
      </c>
      <c r="D39" s="20">
        <v>78.3</v>
      </c>
      <c r="E39" s="20">
        <v>0</v>
      </c>
      <c r="F39" s="20"/>
      <c r="G39" s="20"/>
      <c r="H39" s="20"/>
    </row>
    <row r="40" spans="1:8" s="35" customFormat="1">
      <c r="A40" s="34" t="s">
        <v>71</v>
      </c>
      <c r="B40" s="20">
        <f>892.067-B39</f>
        <v>824.86699999999996</v>
      </c>
      <c r="C40" s="20">
        <f>907.226-C39</f>
        <v>843.226</v>
      </c>
      <c r="D40" s="20">
        <f>923.195-D39</f>
        <v>844.8950000000001</v>
      </c>
      <c r="E40" s="20">
        <f>847.775-E39</f>
        <v>847.77499999999998</v>
      </c>
      <c r="F40" s="20"/>
      <c r="G40" s="20"/>
      <c r="H40" s="20"/>
    </row>
    <row r="41" spans="1:8" s="35" customFormat="1">
      <c r="A41" s="34" t="s">
        <v>72</v>
      </c>
      <c r="B41" s="20">
        <f>B39+B40+500</f>
        <v>1392.067</v>
      </c>
      <c r="C41" s="20">
        <f>C39+C40+500</f>
        <v>1407.2260000000001</v>
      </c>
      <c r="D41" s="20">
        <f>D39+D40+500</f>
        <v>1423.1950000000002</v>
      </c>
      <c r="E41" s="20">
        <f>E39+E40+500</f>
        <v>1347.7750000000001</v>
      </c>
      <c r="F41" s="20"/>
      <c r="G41" s="20"/>
      <c r="H41" s="20"/>
    </row>
    <row r="42" spans="1:8" s="35" customFormat="1">
      <c r="A42" s="34" t="s">
        <v>73</v>
      </c>
      <c r="B42" s="36">
        <v>0</v>
      </c>
      <c r="C42" s="36">
        <v>0</v>
      </c>
      <c r="D42" s="36">
        <v>0</v>
      </c>
      <c r="E42" s="36">
        <v>0</v>
      </c>
      <c r="F42" s="36"/>
      <c r="G42" s="36"/>
      <c r="H42" s="36"/>
    </row>
    <row r="43" spans="1:8">
      <c r="B43" s="35"/>
      <c r="C43" s="35"/>
      <c r="D43" s="35"/>
    </row>
    <row r="44" spans="1:8">
      <c r="A44" s="19" t="s">
        <v>74</v>
      </c>
      <c r="B44" s="28">
        <v>32.005000000000003</v>
      </c>
      <c r="C44" s="28">
        <v>32.591000000000001</v>
      </c>
      <c r="D44" s="28">
        <v>46.326999999999998</v>
      </c>
      <c r="E44" s="28">
        <v>79.206999999999994</v>
      </c>
      <c r="F44" s="28"/>
      <c r="G44" s="57"/>
      <c r="H44" s="57"/>
    </row>
    <row r="46" spans="1:8">
      <c r="A46" s="14" t="s">
        <v>75</v>
      </c>
      <c r="B46" s="33">
        <f>SUM(B12:E12)</f>
        <v>3057.6219999999998</v>
      </c>
      <c r="C46" s="33">
        <f>SUM(C12:F12)</f>
        <v>2973.7129999999997</v>
      </c>
      <c r="D46" s="33">
        <f>SUM(D12:G12)</f>
        <v>2881.3380000000002</v>
      </c>
      <c r="E46" s="33">
        <f>SUM(E12:H12)</f>
        <v>2782.4290000000001</v>
      </c>
      <c r="F46" s="33"/>
    </row>
    <row r="47" spans="1:8">
      <c r="A47" s="14" t="s">
        <v>76</v>
      </c>
      <c r="B47" s="33">
        <f>+B27</f>
        <v>247.58800000000016</v>
      </c>
      <c r="C47" s="33">
        <f>+C27</f>
        <v>251.89200000000011</v>
      </c>
      <c r="D47" s="33">
        <f>+D27</f>
        <v>259.2800000000002</v>
      </c>
      <c r="E47" s="33">
        <f>+E27</f>
        <v>260.88700000000023</v>
      </c>
      <c r="F47" s="33"/>
    </row>
    <row r="48" spans="1:8">
      <c r="A48" s="14" t="s">
        <v>77</v>
      </c>
      <c r="B48" s="33">
        <f>+SUM(B37:E37)</f>
        <v>-13.608999999999838</v>
      </c>
      <c r="C48" s="33">
        <f>+SUM(C37:F37)</f>
        <v>26.635000000000126</v>
      </c>
      <c r="D48" s="33">
        <f>+SUM(D37:G37)</f>
        <v>-38.268999999999785</v>
      </c>
      <c r="E48" s="33">
        <f>+SUM(E37:H37)</f>
        <v>-10.160999999999795</v>
      </c>
      <c r="F48" s="33"/>
    </row>
    <row r="50" spans="1:8" s="37" customFormat="1">
      <c r="A50" s="37" t="s">
        <v>78</v>
      </c>
      <c r="B50" s="37">
        <f>+SUM(B39:B40)/B47</f>
        <v>3.6030300337657697</v>
      </c>
      <c r="C50" s="37">
        <f>+SUM(C39:C40)/C47</f>
        <v>3.6016467374906691</v>
      </c>
      <c r="D50" s="37">
        <f>+SUM(D39:D40)/D47</f>
        <v>3.5606101511879023</v>
      </c>
      <c r="E50" s="37">
        <f>+SUM(E39:E40)/E47</f>
        <v>3.2495869859364368</v>
      </c>
    </row>
    <row r="51" spans="1:8" s="37" customFormat="1">
      <c r="A51" s="37" t="s">
        <v>79</v>
      </c>
      <c r="B51" s="37">
        <f>+B41/B47</f>
        <v>5.6225140152188278</v>
      </c>
      <c r="C51" s="37">
        <f>+C41/C47</f>
        <v>5.5866244263414462</v>
      </c>
      <c r="D51" s="37">
        <f>+D41/D47</f>
        <v>5.4890273063869142</v>
      </c>
      <c r="E51" s="37">
        <f>+E41/E47</f>
        <v>5.1661255639414723</v>
      </c>
    </row>
    <row r="52" spans="1:8" s="37" customFormat="1">
      <c r="A52" s="37" t="s">
        <v>80</v>
      </c>
      <c r="B52" s="37">
        <f>+(B41-B44)/B47</f>
        <v>5.4932468455660173</v>
      </c>
      <c r="C52" s="37">
        <f>+(C41-C44)/C47</f>
        <v>5.4572396106267753</v>
      </c>
      <c r="D52" s="37">
        <f>+(D41-D44)/D47</f>
        <v>5.3103517432891048</v>
      </c>
      <c r="E52" s="37">
        <f>+(E41-E44)/E47</f>
        <v>4.8625190216453831</v>
      </c>
    </row>
    <row r="53" spans="1:8" s="38" customFormat="1">
      <c r="A53" s="38" t="s">
        <v>81</v>
      </c>
      <c r="B53" s="38">
        <f>+B48/B41</f>
        <v>-9.7761099142497001E-3</v>
      </c>
      <c r="C53" s="38">
        <f>+C48/C41</f>
        <v>1.8927308051443138E-2</v>
      </c>
      <c r="D53" s="38">
        <f>+D48/D41</f>
        <v>-2.688949862808665E-2</v>
      </c>
      <c r="E53" s="38">
        <f>+E48/E41</f>
        <v>-7.5390922075270683E-3</v>
      </c>
    </row>
    <row r="54" spans="1:8" s="38" customFormat="1">
      <c r="A54" s="39" t="s">
        <v>82</v>
      </c>
      <c r="B54" s="40"/>
      <c r="C54" s="40"/>
      <c r="D54" s="40"/>
      <c r="E54" s="40"/>
      <c r="F54" s="40"/>
      <c r="G54" s="39"/>
      <c r="H54" s="39"/>
    </row>
    <row r="55" spans="1:8" s="38" customFormat="1">
      <c r="A55" s="38" t="s">
        <v>83</v>
      </c>
      <c r="B55" s="41" t="str">
        <f>IF(B42=0,IF(B54="","","*"&amp;TEXT(B54,"0.0x")),(B41+B42-B44)/B47)</f>
        <v/>
      </c>
      <c r="C55" s="41" t="str">
        <f>IF(C42=0,IF(C54="","","*"&amp;TEXT(C54,"0.0x")),(C41+C42-C44)/C47)</f>
        <v/>
      </c>
      <c r="D55" s="41" t="str">
        <f>IF(D42=0,IF(D54="","","*"&amp;TEXT(D54,"0.0x")),(D41+D42-D44)/D47)</f>
        <v/>
      </c>
      <c r="E55" s="41" t="str">
        <f>IF(E42=0,IF(E54="","","*"&amp;TEXT(E54,"0.0x")),(E41+E42-E44)/E47)</f>
        <v/>
      </c>
      <c r="F55" s="41"/>
      <c r="G55" s="41" t="str">
        <f>IF(G42=0,IF(G54="","",CONCATENATE("* ",G54,"x")),(G41+G42-G44)/G47)</f>
        <v/>
      </c>
      <c r="H55" s="41" t="str">
        <f>IF(H42=0,IF(H54="","",CONCATENATE("* ",H54,"x")),(H41+H42-H44)/H47)</f>
        <v/>
      </c>
    </row>
    <row r="56" spans="1:8">
      <c r="F56" s="42"/>
    </row>
    <row r="57" spans="1:8" ht="80.25" customHeight="1">
      <c r="A57" s="43" t="s">
        <v>84</v>
      </c>
      <c r="B57" s="44" t="s">
        <v>90</v>
      </c>
      <c r="C57" s="44"/>
      <c r="D57" s="44"/>
      <c r="E57" s="44"/>
      <c r="F57" s="44"/>
      <c r="G57" s="44"/>
      <c r="H57" s="44"/>
    </row>
    <row r="58" spans="1:8">
      <c r="A58" s="45"/>
      <c r="B58" s="42"/>
    </row>
    <row r="59" spans="1:8">
      <c r="A59" s="45"/>
    </row>
  </sheetData>
  <pageMargins left="0.7" right="0.7" top="0.75" bottom="0.75" header="0.3" footer="0.3"/>
  <pageSetup orientation="portrait" r:id="rId1"/>
  <ignoredErrors>
    <ignoredError sqref="B46:E48" formulaRange="1"/>
  </ignoredError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F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5" width="10.6640625" style="14" customWidth="1"/>
    <col min="16" max="25" width="10.6640625" style="14" hidden="1" customWidth="1"/>
    <col min="26" max="16384" width="9.109375" style="14"/>
  </cols>
  <sheetData>
    <row r="2" spans="1:27">
      <c r="A2" s="13" t="s">
        <v>44</v>
      </c>
      <c r="B2" s="14" t="s">
        <v>14</v>
      </c>
    </row>
    <row r="3" spans="1:27" s="16" customFormat="1">
      <c r="A3" s="15" t="s">
        <v>45</v>
      </c>
      <c r="B3" s="16" t="s">
        <v>144</v>
      </c>
    </row>
    <row r="4" spans="1:27">
      <c r="A4" s="13" t="s">
        <v>2</v>
      </c>
      <c r="B4" s="14" t="s">
        <v>4</v>
      </c>
    </row>
    <row r="5" spans="1:27">
      <c r="A5" s="13" t="s">
        <v>46</v>
      </c>
    </row>
    <row r="6" spans="1:27">
      <c r="A6" s="13" t="s">
        <v>47</v>
      </c>
      <c r="B6" s="14">
        <v>3</v>
      </c>
    </row>
    <row r="7" spans="1:27">
      <c r="A7" s="13" t="s">
        <v>48</v>
      </c>
      <c r="B7" s="14" t="s">
        <v>237</v>
      </c>
    </row>
    <row r="8" spans="1:27">
      <c r="A8" s="13" t="s">
        <v>347</v>
      </c>
      <c r="B8" s="14" t="s">
        <v>396</v>
      </c>
    </row>
    <row r="9" spans="1:27">
      <c r="A9" s="17"/>
    </row>
    <row r="10" spans="1:27">
      <c r="A10" s="17" t="s">
        <v>49</v>
      </c>
      <c r="B10" s="18">
        <v>44377</v>
      </c>
      <c r="C10" s="18">
        <v>44286</v>
      </c>
      <c r="D10" s="18">
        <v>44196</v>
      </c>
      <c r="E10" s="18">
        <v>44104</v>
      </c>
      <c r="F10" s="18">
        <v>44012</v>
      </c>
      <c r="G10" s="18">
        <v>43921</v>
      </c>
      <c r="H10" s="18">
        <v>43830</v>
      </c>
      <c r="I10" s="18">
        <v>43738</v>
      </c>
      <c r="J10" s="18">
        <v>43646</v>
      </c>
      <c r="K10" s="18">
        <v>43555</v>
      </c>
      <c r="L10" s="18">
        <v>43465</v>
      </c>
      <c r="M10" s="18">
        <v>43373</v>
      </c>
      <c r="N10" s="18">
        <v>43281</v>
      </c>
      <c r="O10" s="18">
        <v>43190</v>
      </c>
      <c r="P10" s="18">
        <v>43100</v>
      </c>
      <c r="Q10" s="18">
        <v>43008</v>
      </c>
      <c r="R10" s="18">
        <v>42916</v>
      </c>
      <c r="S10" s="18">
        <v>42825</v>
      </c>
      <c r="T10" s="18">
        <v>42735</v>
      </c>
      <c r="U10" s="18">
        <v>42643</v>
      </c>
      <c r="V10" s="18">
        <v>42551</v>
      </c>
      <c r="W10" s="18">
        <v>42460</v>
      </c>
      <c r="X10" s="18">
        <v>42369</v>
      </c>
      <c r="Y10" s="18">
        <v>42277</v>
      </c>
    </row>
    <row r="12" spans="1:27">
      <c r="A12" s="19" t="s">
        <v>50</v>
      </c>
      <c r="B12" s="20">
        <v>1156.4000000000001</v>
      </c>
      <c r="C12" s="20">
        <v>1008.9</v>
      </c>
      <c r="D12" s="20">
        <f>4070.2-E12-F12-G12</f>
        <v>1060.1999999999994</v>
      </c>
      <c r="E12" s="20">
        <v>1007.9</v>
      </c>
      <c r="F12" s="20">
        <v>846.7</v>
      </c>
      <c r="G12" s="20">
        <v>1155.4000000000001</v>
      </c>
      <c r="H12" s="20">
        <f>4990.4-I12-J12-K12</f>
        <v>1279</v>
      </c>
      <c r="I12" s="20">
        <v>1242.5999999999999</v>
      </c>
      <c r="J12" s="20">
        <v>1303.8</v>
      </c>
      <c r="K12" s="20">
        <v>1165</v>
      </c>
      <c r="L12" s="20">
        <v>1277.2530000000004</v>
      </c>
      <c r="M12" s="20">
        <v>1198.3</v>
      </c>
      <c r="N12" s="20">
        <v>1245.674</v>
      </c>
      <c r="O12" s="20">
        <v>1127.1029999999998</v>
      </c>
      <c r="P12" s="20">
        <v>1170.5999999999999</v>
      </c>
      <c r="Q12" s="20">
        <v>1233.4000000000001</v>
      </c>
      <c r="R12" s="20">
        <v>1260</v>
      </c>
      <c r="S12" s="20">
        <v>1141</v>
      </c>
      <c r="T12" s="20">
        <v>736.35999999999967</v>
      </c>
      <c r="U12" s="20">
        <v>733.13400000000001</v>
      </c>
      <c r="V12" s="20">
        <v>782.41499999999996</v>
      </c>
      <c r="W12" s="20">
        <v>750.39400000000001</v>
      </c>
      <c r="X12" s="20">
        <v>800.75199999999995</v>
      </c>
      <c r="Y12" s="20">
        <v>758.56700000000001</v>
      </c>
    </row>
    <row r="13" spans="1:27" s="21" customFormat="1">
      <c r="A13" s="21" t="s">
        <v>51</v>
      </c>
      <c r="B13" s="21">
        <f t="shared" ref="B13:U13" si="0">+B12/F12-1</f>
        <v>0.3657730010629503</v>
      </c>
      <c r="C13" s="21">
        <f t="shared" si="0"/>
        <v>-0.12679591483468933</v>
      </c>
      <c r="D13" s="21">
        <f t="shared" si="0"/>
        <v>-0.17107114933541878</v>
      </c>
      <c r="E13" s="21">
        <f t="shared" si="0"/>
        <v>-0.18887815869950098</v>
      </c>
      <c r="F13" s="21">
        <f t="shared" si="0"/>
        <v>-0.35059058137751187</v>
      </c>
      <c r="G13" s="21">
        <f t="shared" si="0"/>
        <v>-8.2403433476394561E-3</v>
      </c>
      <c r="H13" s="21">
        <f t="shared" si="0"/>
        <v>1.367779132246838E-3</v>
      </c>
      <c r="I13" s="21">
        <f t="shared" si="0"/>
        <v>3.6969039472586118E-2</v>
      </c>
      <c r="J13" s="21">
        <f t="shared" si="0"/>
        <v>4.6662288849249389E-2</v>
      </c>
      <c r="K13" s="21">
        <f t="shared" si="0"/>
        <v>3.3623368937887754E-2</v>
      </c>
      <c r="L13" s="21">
        <f t="shared" si="0"/>
        <v>9.1109687339826051E-2</v>
      </c>
      <c r="M13" s="21">
        <f t="shared" si="0"/>
        <v>-2.8457921193449143E-2</v>
      </c>
      <c r="N13" s="21">
        <f t="shared" si="0"/>
        <v>-1.1369841269841308E-2</v>
      </c>
      <c r="O13" s="21">
        <f t="shared" si="0"/>
        <v>-1.2179666958808233E-2</v>
      </c>
      <c r="P13" s="21">
        <f t="shared" si="0"/>
        <v>0.58971155413113219</v>
      </c>
      <c r="Q13" s="21">
        <f t="shared" si="0"/>
        <v>0.6823663886820146</v>
      </c>
      <c r="R13" s="21">
        <f t="shared" si="0"/>
        <v>0.61039857364697769</v>
      </c>
      <c r="S13" s="21">
        <f t="shared" si="0"/>
        <v>0.52053454585191239</v>
      </c>
      <c r="T13" s="21">
        <f t="shared" si="0"/>
        <v>-8.0414410454173413E-2</v>
      </c>
      <c r="U13" s="21">
        <f t="shared" si="0"/>
        <v>-3.352769102795139E-2</v>
      </c>
    </row>
    <row r="14" spans="1:27"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t="s">
        <v>3</v>
      </c>
      <c r="P14" s="23" t="s">
        <v>3</v>
      </c>
      <c r="Q14" s="23" t="s">
        <v>3</v>
      </c>
      <c r="R14" s="23" t="s">
        <v>3</v>
      </c>
      <c r="S14" s="23" t="s">
        <v>3</v>
      </c>
      <c r="T14" s="23" t="s">
        <v>3</v>
      </c>
      <c r="U14" s="23" t="s">
        <v>3</v>
      </c>
      <c r="V14" s="22"/>
      <c r="W14" s="22"/>
      <c r="X14" s="22"/>
      <c r="Y14" s="22"/>
    </row>
    <row r="16" spans="1:27" s="17" customFormat="1">
      <c r="A16" s="25" t="s">
        <v>53</v>
      </c>
      <c r="B16" s="26">
        <v>137</v>
      </c>
      <c r="C16" s="26">
        <v>93.5</v>
      </c>
      <c r="D16" s="26">
        <v>91</v>
      </c>
      <c r="E16" s="26">
        <v>122.1</v>
      </c>
      <c r="F16" s="26">
        <v>106.5</v>
      </c>
      <c r="G16" s="26">
        <v>93.7</v>
      </c>
      <c r="H16" s="26">
        <f>619.7-I16-J16-K16</f>
        <v>166.90000000000003</v>
      </c>
      <c r="I16" s="26">
        <v>162.4</v>
      </c>
      <c r="J16" s="26">
        <v>175.1</v>
      </c>
      <c r="K16" s="26">
        <v>115.3</v>
      </c>
      <c r="L16" s="26">
        <f>612.5-M16-N16-O16</f>
        <v>168.30000000000004</v>
      </c>
      <c r="M16" s="26">
        <v>155.9</v>
      </c>
      <c r="N16" s="26">
        <v>169.9</v>
      </c>
      <c r="O16" s="26">
        <v>118.4</v>
      </c>
      <c r="P16" s="26">
        <v>145.56500000000005</v>
      </c>
      <c r="Q16" s="26">
        <v>147.535</v>
      </c>
      <c r="R16" s="26">
        <v>153.1</v>
      </c>
      <c r="S16" s="26">
        <v>107.79999999999998</v>
      </c>
      <c r="T16" s="26">
        <v>99.687000000000012</v>
      </c>
      <c r="U16" s="26">
        <v>86.308000000000007</v>
      </c>
      <c r="V16" s="26">
        <v>90.721999999999994</v>
      </c>
      <c r="W16" s="26">
        <v>69.147999999999996</v>
      </c>
      <c r="X16" s="26">
        <v>101.98999999999998</v>
      </c>
      <c r="Y16" s="26">
        <v>80.572999999999993</v>
      </c>
      <c r="AA16" s="14"/>
    </row>
    <row r="17" spans="1:25" s="21" customFormat="1">
      <c r="A17" s="21" t="s">
        <v>54</v>
      </c>
      <c r="B17" s="21">
        <f t="shared" ref="B17:C17" si="1">+B16/B12</f>
        <v>0.1184711172604635</v>
      </c>
      <c r="C17" s="21">
        <f t="shared" si="1"/>
        <v>9.2675190801863414E-2</v>
      </c>
      <c r="D17" s="21">
        <f t="shared" ref="D17:E17" si="2">+D16/D12</f>
        <v>8.5832861724203027E-2</v>
      </c>
      <c r="E17" s="21">
        <f t="shared" si="2"/>
        <v>0.12114297053279095</v>
      </c>
      <c r="F17" s="21">
        <f t="shared" ref="F17:G17" si="3">+F16/F12</f>
        <v>0.12578244950986181</v>
      </c>
      <c r="G17" s="21">
        <f t="shared" si="3"/>
        <v>8.1097455426692056E-2</v>
      </c>
      <c r="H17" s="21">
        <f t="shared" ref="H17:I17" si="4">+H16/H12</f>
        <v>0.13049257232212669</v>
      </c>
      <c r="I17" s="21">
        <f t="shared" si="4"/>
        <v>0.13069370674392405</v>
      </c>
      <c r="J17" s="21">
        <f t="shared" ref="J17:K17" si="5">+J16/J12</f>
        <v>0.13429973922380734</v>
      </c>
      <c r="K17" s="21">
        <f t="shared" si="5"/>
        <v>9.896995708154506E-2</v>
      </c>
      <c r="L17" s="21">
        <f t="shared" ref="L17" si="6">+L16/L12</f>
        <v>0.13176715967783986</v>
      </c>
      <c r="M17" s="21">
        <f t="shared" ref="M17:Y17" si="7">+M16/M12</f>
        <v>0.13010097638320955</v>
      </c>
      <c r="N17" s="21">
        <f t="shared" si="7"/>
        <v>0.13639202552192628</v>
      </c>
      <c r="O17" s="21">
        <f t="shared" si="7"/>
        <v>0.10504807457703513</v>
      </c>
      <c r="P17" s="21">
        <f t="shared" si="7"/>
        <v>0.12435076029386645</v>
      </c>
      <c r="Q17" s="21">
        <f t="shared" si="7"/>
        <v>0.11961650721582616</v>
      </c>
      <c r="R17" s="21">
        <f t="shared" si="7"/>
        <v>0.12150793650793651</v>
      </c>
      <c r="S17" s="21">
        <f t="shared" si="7"/>
        <v>9.4478527607361945E-2</v>
      </c>
      <c r="T17" s="21">
        <f t="shared" si="7"/>
        <v>0.13537807594111584</v>
      </c>
      <c r="U17" s="21">
        <f t="shared" si="7"/>
        <v>0.11772472699397382</v>
      </c>
      <c r="V17" s="21">
        <f t="shared" si="7"/>
        <v>0.11595125349079452</v>
      </c>
      <c r="W17" s="21">
        <f t="shared" si="7"/>
        <v>9.2148924431698545E-2</v>
      </c>
      <c r="X17" s="21">
        <f t="shared" si="7"/>
        <v>0.12736777429216534</v>
      </c>
      <c r="Y17" s="21">
        <f t="shared" si="7"/>
        <v>0.10621738093009582</v>
      </c>
    </row>
    <row r="18" spans="1:25" s="24" customFormat="1"/>
    <row r="19" spans="1:25"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c r="Y19" s="20">
        <v>0</v>
      </c>
    </row>
    <row r="20" spans="1:25"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c r="Y20" s="20">
        <v>0</v>
      </c>
    </row>
    <row r="21" spans="1:25"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row>
    <row r="22" spans="1:25" s="17" customFormat="1">
      <c r="A22" s="17" t="s">
        <v>58</v>
      </c>
      <c r="B22" s="27">
        <f t="shared" ref="B22" si="8">SUM(B16,B19:B21)</f>
        <v>137</v>
      </c>
      <c r="C22" s="27">
        <f t="shared" ref="C22:D22" si="9">SUM(C16,C19:C21)</f>
        <v>93.5</v>
      </c>
      <c r="D22" s="27">
        <f t="shared" si="9"/>
        <v>91</v>
      </c>
      <c r="E22" s="27">
        <f t="shared" ref="E22:F22" si="10">SUM(E16,E19:E21)</f>
        <v>122.1</v>
      </c>
      <c r="F22" s="27">
        <f t="shared" si="10"/>
        <v>106.5</v>
      </c>
      <c r="G22" s="27">
        <f t="shared" ref="G22:H22" si="11">SUM(G16,G19:G21)</f>
        <v>93.7</v>
      </c>
      <c r="H22" s="27">
        <f t="shared" si="11"/>
        <v>166.90000000000003</v>
      </c>
      <c r="I22" s="27">
        <f t="shared" ref="I22:J22" si="12">SUM(I16,I19:I21)</f>
        <v>162.4</v>
      </c>
      <c r="J22" s="27">
        <f t="shared" si="12"/>
        <v>175.1</v>
      </c>
      <c r="K22" s="27">
        <f t="shared" ref="K22:L22" si="13">SUM(K16,K19:K21)</f>
        <v>115.3</v>
      </c>
      <c r="L22" s="27">
        <f t="shared" si="13"/>
        <v>168.30000000000004</v>
      </c>
      <c r="M22" s="27">
        <f t="shared" ref="M22:Y22" si="14">SUM(M16,M19:M21)</f>
        <v>155.9</v>
      </c>
      <c r="N22" s="27">
        <f t="shared" si="14"/>
        <v>169.9</v>
      </c>
      <c r="O22" s="27">
        <f t="shared" si="14"/>
        <v>118.4</v>
      </c>
      <c r="P22" s="27">
        <f t="shared" si="14"/>
        <v>145.56500000000005</v>
      </c>
      <c r="Q22" s="27">
        <f t="shared" si="14"/>
        <v>147.535</v>
      </c>
      <c r="R22" s="27">
        <f t="shared" si="14"/>
        <v>153.1</v>
      </c>
      <c r="S22" s="27">
        <f t="shared" si="14"/>
        <v>107.79999999999998</v>
      </c>
      <c r="T22" s="27">
        <f t="shared" si="14"/>
        <v>99.687000000000012</v>
      </c>
      <c r="U22" s="27">
        <f t="shared" si="14"/>
        <v>86.308000000000007</v>
      </c>
      <c r="V22" s="27">
        <f t="shared" si="14"/>
        <v>90.721999999999994</v>
      </c>
      <c r="W22" s="27">
        <f t="shared" si="14"/>
        <v>69.147999999999996</v>
      </c>
      <c r="X22" s="27">
        <f t="shared" si="14"/>
        <v>101.98999999999998</v>
      </c>
      <c r="Y22" s="27">
        <f t="shared" si="14"/>
        <v>80.572999999999993</v>
      </c>
    </row>
    <row r="23" spans="1:25" s="17" customFormat="1">
      <c r="B23" s="21"/>
      <c r="C23" s="21"/>
      <c r="D23" s="21"/>
      <c r="E23" s="21"/>
      <c r="F23" s="21"/>
      <c r="G23" s="21"/>
      <c r="H23" s="21"/>
      <c r="I23" s="21"/>
      <c r="J23" s="21"/>
      <c r="K23" s="21"/>
      <c r="L23" s="21"/>
      <c r="M23" s="21"/>
      <c r="N23" s="27"/>
      <c r="O23" s="27"/>
      <c r="P23" s="27"/>
      <c r="Q23" s="27"/>
      <c r="R23" s="27"/>
      <c r="S23" s="27"/>
      <c r="T23" s="27"/>
      <c r="U23" s="27"/>
      <c r="V23" s="27"/>
      <c r="W23" s="27"/>
      <c r="X23" s="27"/>
      <c r="Y23" s="27"/>
    </row>
    <row r="24" spans="1:25" s="17" customFormat="1">
      <c r="A24" s="17" t="s">
        <v>59</v>
      </c>
      <c r="B24" s="27">
        <f t="shared" ref="B24:V24" si="15">SUM(B22:E22)</f>
        <v>443.6</v>
      </c>
      <c r="C24" s="27">
        <f t="shared" si="15"/>
        <v>413.1</v>
      </c>
      <c r="D24" s="27">
        <f t="shared" si="15"/>
        <v>413.3</v>
      </c>
      <c r="E24" s="27">
        <f t="shared" si="15"/>
        <v>489.20000000000005</v>
      </c>
      <c r="F24" s="27">
        <f t="shared" si="15"/>
        <v>529.5</v>
      </c>
      <c r="G24" s="27">
        <f t="shared" si="15"/>
        <v>598.1</v>
      </c>
      <c r="H24" s="27">
        <f t="shared" si="15"/>
        <v>619.70000000000005</v>
      </c>
      <c r="I24" s="27">
        <f t="shared" si="15"/>
        <v>621.1</v>
      </c>
      <c r="J24" s="27">
        <f t="shared" si="15"/>
        <v>614.6</v>
      </c>
      <c r="K24" s="27">
        <f t="shared" si="15"/>
        <v>609.4</v>
      </c>
      <c r="L24" s="27">
        <f t="shared" si="15"/>
        <v>612.5</v>
      </c>
      <c r="M24" s="27">
        <f t="shared" si="15"/>
        <v>589.7650000000001</v>
      </c>
      <c r="N24" s="27">
        <f t="shared" si="15"/>
        <v>581.40000000000009</v>
      </c>
      <c r="O24" s="27">
        <f t="shared" si="15"/>
        <v>564.6</v>
      </c>
      <c r="P24" s="27">
        <f t="shared" si="15"/>
        <v>554</v>
      </c>
      <c r="Q24" s="27">
        <f t="shared" si="15"/>
        <v>508.12199999999996</v>
      </c>
      <c r="R24" s="27">
        <f t="shared" si="15"/>
        <v>446.89499999999998</v>
      </c>
      <c r="S24" s="27">
        <f t="shared" si="15"/>
        <v>384.517</v>
      </c>
      <c r="T24" s="27">
        <f t="shared" si="15"/>
        <v>345.86500000000001</v>
      </c>
      <c r="U24" s="27">
        <f t="shared" si="15"/>
        <v>348.16800000000001</v>
      </c>
      <c r="V24" s="27">
        <f t="shared" si="15"/>
        <v>342.43299999999999</v>
      </c>
      <c r="W24" s="27"/>
      <c r="X24" s="27"/>
      <c r="Y24" s="27"/>
    </row>
    <row r="25" spans="1:25" s="24" customFormat="1">
      <c r="A25" s="19" t="s">
        <v>60</v>
      </c>
      <c r="B25" s="28">
        <f>462.6-B26-B24</f>
        <v>14.199999999999989</v>
      </c>
      <c r="C25" s="28">
        <v>7.5</v>
      </c>
      <c r="D25" s="28">
        <f>431.2-D26-D24</f>
        <v>13.399999999999977</v>
      </c>
      <c r="E25" s="28">
        <f>498.2-E24</f>
        <v>8.9999999999999432</v>
      </c>
      <c r="F25" s="28">
        <f>548.6-F24</f>
        <v>19.100000000000023</v>
      </c>
      <c r="G25" s="28">
        <f>615.4-G24</f>
        <v>17.299999999999955</v>
      </c>
      <c r="H25" s="28">
        <f>631.1-H24</f>
        <v>11.399999999999977</v>
      </c>
      <c r="I25" s="28">
        <f>631.7-I24</f>
        <v>10.600000000000023</v>
      </c>
      <c r="J25" s="28">
        <f>628.6-J24</f>
        <v>14</v>
      </c>
      <c r="K25" s="28">
        <f>633.9-K24</f>
        <v>24.5</v>
      </c>
      <c r="L25" s="28">
        <f>641.1-L24</f>
        <v>28.600000000000023</v>
      </c>
      <c r="M25" s="28">
        <f>624.406-M24</f>
        <v>34.640999999999849</v>
      </c>
      <c r="N25" s="28">
        <f>618.4-N24</f>
        <v>36.999999999999886</v>
      </c>
      <c r="O25" s="28">
        <f>618.6-O24</f>
        <v>54</v>
      </c>
      <c r="P25" s="28">
        <f>612.385-P24</f>
        <v>58.384999999999991</v>
      </c>
      <c r="Q25" s="28">
        <v>0</v>
      </c>
      <c r="R25" s="28">
        <v>0</v>
      </c>
      <c r="S25" s="28">
        <v>0</v>
      </c>
      <c r="T25" s="28">
        <v>0</v>
      </c>
      <c r="U25" s="28">
        <v>0</v>
      </c>
      <c r="V25" s="28">
        <v>0</v>
      </c>
      <c r="W25" s="28"/>
      <c r="X25" s="28"/>
      <c r="Y25" s="28"/>
    </row>
    <row r="26" spans="1:25" s="24" customFormat="1">
      <c r="A26" s="19" t="s">
        <v>61</v>
      </c>
      <c r="B26" s="29">
        <v>4.8</v>
      </c>
      <c r="C26" s="29">
        <f>423.2-C25-C24</f>
        <v>2.5999999999999659</v>
      </c>
      <c r="D26" s="29">
        <v>4.5</v>
      </c>
      <c r="E26" s="29">
        <v>0</v>
      </c>
      <c r="F26" s="29">
        <v>0</v>
      </c>
      <c r="G26" s="29">
        <v>0</v>
      </c>
      <c r="H26" s="29">
        <v>0</v>
      </c>
      <c r="I26" s="29">
        <v>0</v>
      </c>
      <c r="J26" s="29">
        <v>0</v>
      </c>
      <c r="K26" s="29">
        <v>0</v>
      </c>
      <c r="L26" s="29">
        <v>0</v>
      </c>
      <c r="M26" s="29">
        <v>0</v>
      </c>
      <c r="N26" s="29">
        <v>0</v>
      </c>
      <c r="O26" s="29">
        <v>0</v>
      </c>
      <c r="P26" s="29">
        <v>0</v>
      </c>
      <c r="Q26" s="29">
        <v>0</v>
      </c>
      <c r="R26" s="29">
        <v>0</v>
      </c>
      <c r="S26" s="29">
        <v>0</v>
      </c>
      <c r="T26" s="29">
        <v>0</v>
      </c>
      <c r="U26" s="29">
        <v>0</v>
      </c>
      <c r="V26" s="29">
        <v>0</v>
      </c>
      <c r="W26" s="30"/>
      <c r="X26" s="30"/>
      <c r="Y26" s="30"/>
    </row>
    <row r="27" spans="1:25" s="32" customFormat="1">
      <c r="A27" s="17" t="s">
        <v>62</v>
      </c>
      <c r="B27" s="27">
        <f t="shared" ref="B27:C27" si="16">SUM(B24:B26)</f>
        <v>462.6</v>
      </c>
      <c r="C27" s="27">
        <f t="shared" si="16"/>
        <v>423.2</v>
      </c>
      <c r="D27" s="27">
        <f t="shared" ref="D27:E27" si="17">SUM(D24:D26)</f>
        <v>431.2</v>
      </c>
      <c r="E27" s="27">
        <f t="shared" si="17"/>
        <v>498.2</v>
      </c>
      <c r="F27" s="27">
        <f t="shared" ref="F27:G27" si="18">SUM(F24:F26)</f>
        <v>548.6</v>
      </c>
      <c r="G27" s="27">
        <f t="shared" si="18"/>
        <v>615.4</v>
      </c>
      <c r="H27" s="27">
        <f t="shared" ref="H27:J27" si="19">SUM(H24:H26)</f>
        <v>631.1</v>
      </c>
      <c r="I27" s="27">
        <f t="shared" si="19"/>
        <v>631.70000000000005</v>
      </c>
      <c r="J27" s="27">
        <f t="shared" si="19"/>
        <v>628.6</v>
      </c>
      <c r="K27" s="27">
        <f t="shared" ref="K27:V27" si="20">SUM(K24:K26)</f>
        <v>633.9</v>
      </c>
      <c r="L27" s="27">
        <f t="shared" si="20"/>
        <v>641.1</v>
      </c>
      <c r="M27" s="27">
        <f t="shared" si="20"/>
        <v>624.40599999999995</v>
      </c>
      <c r="N27" s="27">
        <f t="shared" si="20"/>
        <v>618.4</v>
      </c>
      <c r="O27" s="27">
        <f t="shared" si="20"/>
        <v>618.6</v>
      </c>
      <c r="P27" s="27">
        <f t="shared" si="20"/>
        <v>612.38499999999999</v>
      </c>
      <c r="Q27" s="27">
        <f t="shared" si="20"/>
        <v>508.12199999999996</v>
      </c>
      <c r="R27" s="27">
        <f t="shared" si="20"/>
        <v>446.89499999999998</v>
      </c>
      <c r="S27" s="27">
        <f t="shared" si="20"/>
        <v>384.517</v>
      </c>
      <c r="T27" s="27">
        <f t="shared" si="20"/>
        <v>345.86500000000001</v>
      </c>
      <c r="U27" s="27">
        <f t="shared" si="20"/>
        <v>348.16800000000001</v>
      </c>
      <c r="V27" s="27">
        <f t="shared" si="20"/>
        <v>342.43299999999999</v>
      </c>
      <c r="W27" s="31"/>
      <c r="X27" s="31"/>
      <c r="Y27" s="31"/>
    </row>
    <row r="28" spans="1:25" s="24" customFormat="1"/>
    <row r="29" spans="1:25" s="17" customFormat="1">
      <c r="A29" s="17" t="s">
        <v>58</v>
      </c>
      <c r="B29" s="27">
        <f t="shared" ref="B29:C29" si="21">B22</f>
        <v>137</v>
      </c>
      <c r="C29" s="27">
        <f t="shared" si="21"/>
        <v>93.5</v>
      </c>
      <c r="D29" s="27">
        <f t="shared" ref="D29:J29" si="22">D22</f>
        <v>91</v>
      </c>
      <c r="E29" s="27">
        <f t="shared" si="22"/>
        <v>122.1</v>
      </c>
      <c r="F29" s="27">
        <f t="shared" si="22"/>
        <v>106.5</v>
      </c>
      <c r="G29" s="27">
        <f t="shared" si="22"/>
        <v>93.7</v>
      </c>
      <c r="H29" s="27">
        <f t="shared" si="22"/>
        <v>166.90000000000003</v>
      </c>
      <c r="I29" s="27">
        <f t="shared" si="22"/>
        <v>162.4</v>
      </c>
      <c r="J29" s="27">
        <f t="shared" si="22"/>
        <v>175.1</v>
      </c>
      <c r="K29" s="27">
        <f t="shared" ref="K29:P29" si="23">K22</f>
        <v>115.3</v>
      </c>
      <c r="L29" s="27">
        <f t="shared" si="23"/>
        <v>168.30000000000004</v>
      </c>
      <c r="M29" s="27">
        <f t="shared" si="23"/>
        <v>155.9</v>
      </c>
      <c r="N29" s="27">
        <f t="shared" si="23"/>
        <v>169.9</v>
      </c>
      <c r="O29" s="27">
        <f t="shared" si="23"/>
        <v>118.4</v>
      </c>
      <c r="P29" s="27">
        <f t="shared" si="23"/>
        <v>145.56500000000005</v>
      </c>
      <c r="Q29" s="27">
        <f t="shared" ref="Q29:Y29" si="24">Q22</f>
        <v>147.535</v>
      </c>
      <c r="R29" s="27">
        <f t="shared" si="24"/>
        <v>153.1</v>
      </c>
      <c r="S29" s="27">
        <f t="shared" si="24"/>
        <v>107.79999999999998</v>
      </c>
      <c r="T29" s="27">
        <f t="shared" si="24"/>
        <v>99.687000000000012</v>
      </c>
      <c r="U29" s="27">
        <f t="shared" si="24"/>
        <v>86.308000000000007</v>
      </c>
      <c r="V29" s="27">
        <f t="shared" si="24"/>
        <v>90.721999999999994</v>
      </c>
      <c r="W29" s="27">
        <f t="shared" si="24"/>
        <v>69.147999999999996</v>
      </c>
      <c r="X29" s="27">
        <f t="shared" si="24"/>
        <v>101.98999999999998</v>
      </c>
      <c r="Y29" s="27">
        <f t="shared" si="24"/>
        <v>80.572999999999993</v>
      </c>
    </row>
    <row r="30" spans="1:25" s="33" customFormat="1">
      <c r="A30" s="20" t="s">
        <v>63</v>
      </c>
      <c r="B30" s="20">
        <f>-122.3-C30</f>
        <v>-38.599999999999994</v>
      </c>
      <c r="C30" s="20">
        <v>-83.7</v>
      </c>
      <c r="D30" s="20">
        <f>-264.7-E30-F30-G30</f>
        <v>-40.299999999999969</v>
      </c>
      <c r="E30" s="20">
        <f>-224.4-F30-G30</f>
        <v>-84.800000000000026</v>
      </c>
      <c r="F30" s="20">
        <f>-139.6-G30</f>
        <v>-49.8</v>
      </c>
      <c r="G30" s="20">
        <v>-89.8</v>
      </c>
      <c r="H30" s="20">
        <f>-284.9-I30-J30-K30</f>
        <v>-42.799999999999983</v>
      </c>
      <c r="I30" s="20">
        <f>-242.1-J30-K30</f>
        <v>-87.299999999999983</v>
      </c>
      <c r="J30" s="20">
        <f>-154.8-K30</f>
        <v>-60.200000000000017</v>
      </c>
      <c r="K30" s="20">
        <v>-94.6</v>
      </c>
      <c r="L30" s="20">
        <f>-274.1-M30-N30-O30</f>
        <v>-48.8</v>
      </c>
      <c r="M30" s="20">
        <f>-225.3-N30-O30</f>
        <v>-90.700000000000031</v>
      </c>
      <c r="N30" s="20">
        <f>-134.6-O30</f>
        <v>-44.041999999999987</v>
      </c>
      <c r="O30" s="20">
        <v>-90.558000000000007</v>
      </c>
      <c r="P30" s="20">
        <f>-129.26-Q30-R30-S30</f>
        <v>-32.315999999999988</v>
      </c>
      <c r="Q30" s="20">
        <f>-96.944-S30-R30</f>
        <v>-28.186</v>
      </c>
      <c r="R30" s="20">
        <f>-68.758-S30</f>
        <v>-51.241999999999997</v>
      </c>
      <c r="S30" s="20">
        <v>-17.515999999999998</v>
      </c>
      <c r="T30" s="20">
        <v>-38.245999999999995</v>
      </c>
      <c r="U30" s="20">
        <v>-16.435000000000002</v>
      </c>
      <c r="V30" s="20">
        <v>-36.640999999999998</v>
      </c>
      <c r="W30" s="20">
        <v>-15.957000000000001</v>
      </c>
      <c r="X30" s="20">
        <v>-37.483000000000004</v>
      </c>
      <c r="Y30" s="20">
        <v>-17.725699999999996</v>
      </c>
    </row>
    <row r="31" spans="1:25" s="33" customFormat="1">
      <c r="A31" s="20" t="s">
        <v>64</v>
      </c>
      <c r="B31" s="20">
        <f>-12.5-C31</f>
        <v>-3.5</v>
      </c>
      <c r="C31" s="20">
        <v>-9</v>
      </c>
      <c r="D31" s="20">
        <f>-19.9-E31-F31-G31</f>
        <v>-6.5999999999999988</v>
      </c>
      <c r="E31" s="20">
        <f>-13.3-F31-G31</f>
        <v>-2.6000000000000014</v>
      </c>
      <c r="F31" s="20">
        <f>-10.7-G31</f>
        <v>-7.3999999999999995</v>
      </c>
      <c r="G31" s="20">
        <v>-3.3</v>
      </c>
      <c r="H31" s="20">
        <f>-39.5-I31-J31-K31</f>
        <v>-4.7999999999999972</v>
      </c>
      <c r="I31" s="20">
        <f>-34.7-J31-K31</f>
        <v>-9.9000000000000021</v>
      </c>
      <c r="J31" s="20">
        <f>-24.8-K31</f>
        <v>-16.3</v>
      </c>
      <c r="K31" s="20">
        <v>-8.5</v>
      </c>
      <c r="L31" s="20">
        <f>-34.8-M31-N31-O31</f>
        <v>-9.9999999999999982</v>
      </c>
      <c r="M31" s="20">
        <f>-24.8-N31-O31</f>
        <v>-6.6000000000000014</v>
      </c>
      <c r="N31" s="20">
        <f>-18.2-O31</f>
        <v>-10.125999999999999</v>
      </c>
      <c r="O31" s="20">
        <v>-8.0739999999999998</v>
      </c>
      <c r="P31" s="20">
        <f>-20.322-Q31-R31-S31</f>
        <v>-11.012</v>
      </c>
      <c r="Q31" s="20">
        <f>-9.31-S31-R31</f>
        <v>-3.1420000000000003</v>
      </c>
      <c r="R31" s="20">
        <f>-6.168-S31</f>
        <v>-1.673</v>
      </c>
      <c r="S31" s="20">
        <v>-4.4950000000000001</v>
      </c>
      <c r="T31" s="20">
        <v>-19.902000000000001</v>
      </c>
      <c r="U31" s="20">
        <v>3.9340000000000002</v>
      </c>
      <c r="V31" s="20">
        <v>-2.3780000000000001</v>
      </c>
      <c r="W31" s="20">
        <v>-1.556</v>
      </c>
      <c r="X31" s="20">
        <v>-3.8999999999999702E-2</v>
      </c>
      <c r="Y31" s="20">
        <v>-4.2439999999999998</v>
      </c>
    </row>
    <row r="32" spans="1:25" s="33" customFormat="1">
      <c r="A32" s="20" t="s">
        <v>65</v>
      </c>
      <c r="B32" s="20">
        <f>-43.7-18.5-0.7+5.8+48-9.8-3-C32</f>
        <v>-8.7000000000000064</v>
      </c>
      <c r="C32" s="20">
        <f>11.6-19.8-2.9+5.3-8.4+1</f>
        <v>-13.200000000000003</v>
      </c>
      <c r="D32" s="20">
        <f>206.3+33-9.8+4.8+31.3+4.4+0.9-E32-F32-G32</f>
        <v>55.499999999999972</v>
      </c>
      <c r="E32" s="20">
        <f>212.5-15.8-11.4+25.8+9-6.2+1.5-F32-G32</f>
        <v>-42.599999999999966</v>
      </c>
      <c r="F32" s="20">
        <f>237.2+18.9-13.2+6.7+7.8-5.3+5.9-G32</f>
        <v>264.09999999999997</v>
      </c>
      <c r="G32" s="20">
        <f>50.7-19.1-7.8+7.3-29.4-5.9-1.9</f>
        <v>-6.0999999999999979</v>
      </c>
      <c r="H32" s="20">
        <f>21.2+1.2-1.8-19.3-53.1+10.6+19.9-I32-J32-K32</f>
        <v>47.599999999999987</v>
      </c>
      <c r="I32" s="20">
        <f>4.8-47.5-5.4+7.5-30.4+4.7-2.6-J32-K32</f>
        <v>-14.700000000000005</v>
      </c>
      <c r="J32" s="20">
        <f>-29.9-13.7-3.8+2.6-7.9+4.1-5.6-K32</f>
        <v>-41.699999999999989</v>
      </c>
      <c r="K32" s="20">
        <f>43.1-23.2-5.1-2.5-26.1+1.8-0.5</f>
        <v>-12.499999999999998</v>
      </c>
      <c r="L32" s="20">
        <f>-30.7-22.7-8.3+0.9+56.7+3.5-12-M32-N32-O32</f>
        <v>8.8000000000000043</v>
      </c>
      <c r="M32" s="20">
        <f>-26-62-12.7+8.8+74.3-0.6-3.2-N32-O32</f>
        <v>-8.8000000000000043</v>
      </c>
      <c r="N32" s="20">
        <f>-2.1-26.6-12.8+3.3+20.6+3.2+1.8-O32</f>
        <v>19.299999999999997</v>
      </c>
      <c r="O32" s="20">
        <f>8.9-26.3-12.2-1.7+4.9+1.4-6.9</f>
        <v>-31.9</v>
      </c>
      <c r="P32" s="20">
        <f>-115+20.5-2.4+6+57.2-5.4-11-Q32-R32-S32</f>
        <v>34.880999999999965</v>
      </c>
      <c r="Q32" s="20">
        <f>-150.198-8.42-10.991+95-7.177-4.865+1.67-S32-R32</f>
        <v>-23.543999999999961</v>
      </c>
      <c r="R32" s="20">
        <f>-103.135+5.459-7.557+53.949-3.699-5.801-0.653-S32</f>
        <v>-8.2160000000000082</v>
      </c>
      <c r="S32" s="20">
        <v>-53.220999999999997</v>
      </c>
      <c r="T32" s="20">
        <v>84.073000000000008</v>
      </c>
      <c r="U32" s="20">
        <v>6.8590000000000018</v>
      </c>
      <c r="V32" s="20">
        <v>-6.2750000000000039</v>
      </c>
      <c r="W32" s="20">
        <v>-14.311999999999999</v>
      </c>
      <c r="X32" s="20">
        <v>8.93</v>
      </c>
      <c r="Y32" s="20">
        <v>-11.629999999999997</v>
      </c>
    </row>
    <row r="33" spans="1:32"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c r="W33" s="20">
        <v>0</v>
      </c>
      <c r="X33" s="20">
        <v>0</v>
      </c>
      <c r="Y33" s="20">
        <v>0</v>
      </c>
      <c r="AA33" s="27"/>
      <c r="AB33" s="27"/>
      <c r="AC33" s="27"/>
      <c r="AD33" s="27"/>
      <c r="AE33" s="27"/>
      <c r="AF33" s="27"/>
    </row>
    <row r="34" spans="1:32"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c r="X34" s="29">
        <v>0</v>
      </c>
      <c r="Y34" s="29">
        <v>0</v>
      </c>
    </row>
    <row r="35" spans="1:32" s="27" customFormat="1">
      <c r="A35" s="27" t="s">
        <v>67</v>
      </c>
      <c r="B35" s="27">
        <f>-21.7-C35</f>
        <v>8.9000000000000021</v>
      </c>
      <c r="C35" s="27">
        <v>-30.6</v>
      </c>
      <c r="D35" s="27">
        <f>201.7-E35-F35-G35</f>
        <v>38.399999999999984</v>
      </c>
      <c r="E35" s="27">
        <f>163.3-F35-G35</f>
        <v>-29.999999999999993</v>
      </c>
      <c r="F35" s="27">
        <f>193.3-G35</f>
        <v>247.4</v>
      </c>
      <c r="G35" s="27">
        <v>-54.1</v>
      </c>
      <c r="H35" s="27">
        <f>143-I35-J35-K35</f>
        <v>81.100000000000023</v>
      </c>
      <c r="I35" s="27">
        <f>61.9-J35-K35</f>
        <v>34.699999999999996</v>
      </c>
      <c r="J35" s="27">
        <f>27.2-K35</f>
        <v>20.6</v>
      </c>
      <c r="K35" s="27">
        <v>6.6</v>
      </c>
      <c r="L35" s="27">
        <f>155.9-M35-N35-O35</f>
        <v>80.600000000000023</v>
      </c>
      <c r="M35" s="27">
        <f>75.3-N35-O35</f>
        <v>26.199999999999996</v>
      </c>
      <c r="N35" s="27">
        <f>49.1-O35</f>
        <v>74.2</v>
      </c>
      <c r="O35" s="27">
        <v>-25.1</v>
      </c>
      <c r="P35" s="27">
        <f>31.09-Q35-R35-S35</f>
        <v>86.073000000000008</v>
      </c>
      <c r="Q35" s="27">
        <f>-54.983-S35-R35</f>
        <v>12.911999999999999</v>
      </c>
      <c r="R35" s="27">
        <f>-67.895-S35</f>
        <v>-16.529999999999994</v>
      </c>
      <c r="S35" s="27">
        <v>-51.365000000000002</v>
      </c>
      <c r="T35" s="27">
        <v>122.17700000000001</v>
      </c>
      <c r="U35" s="27">
        <v>42.963000000000001</v>
      </c>
      <c r="V35" s="27">
        <v>34.445</v>
      </c>
      <c r="W35" s="27">
        <v>3.81</v>
      </c>
      <c r="X35" s="27">
        <v>47.484000000000002</v>
      </c>
      <c r="Y35" s="27">
        <v>26.913999999999998</v>
      </c>
      <c r="AA35" s="33"/>
    </row>
    <row r="36" spans="1:32" s="33" customFormat="1">
      <c r="A36" s="20" t="s">
        <v>68</v>
      </c>
      <c r="B36" s="29">
        <f>-97.4+50.6-C36</f>
        <v>-29.700000000000003</v>
      </c>
      <c r="C36" s="29">
        <f>-40.6+23.5</f>
        <v>-17.100000000000001</v>
      </c>
      <c r="D36" s="29">
        <f>-187.8+78.2-E36-F36-G36</f>
        <v>-23.70000000000001</v>
      </c>
      <c r="E36" s="29">
        <f>-147.2+61.3-F36-G36</f>
        <v>-18.799999999999997</v>
      </c>
      <c r="F36" s="29">
        <f>-107.2+40.1-G36</f>
        <v>-23.499999999999993</v>
      </c>
      <c r="G36" s="29">
        <f>-63.5+19.9</f>
        <v>-43.6</v>
      </c>
      <c r="H36" s="29">
        <f>-270.6+106.1-I36-J36-K36</f>
        <v>-36.9</v>
      </c>
      <c r="I36" s="29">
        <f>-203.8+76.2-J36-K36</f>
        <v>-33.000000000000021</v>
      </c>
      <c r="J36" s="29">
        <f>-146.2+51.6-K36</f>
        <v>-36.499999999999993</v>
      </c>
      <c r="K36" s="29">
        <f>-78.5+20.4</f>
        <v>-58.1</v>
      </c>
      <c r="L36" s="29">
        <f>-260.4+101.9-M36-N36-O36</f>
        <v>-26.69999999999996</v>
      </c>
      <c r="M36" s="29">
        <f>-201.8+70-N36-O36</f>
        <v>-49.300000000000004</v>
      </c>
      <c r="N36" s="29">
        <f>-132.5+50-O36</f>
        <v>-49.4</v>
      </c>
      <c r="O36" s="29">
        <f>-67+33.9</f>
        <v>-33.1</v>
      </c>
      <c r="P36" s="29">
        <f>-194.687-Q36-R36-S36</f>
        <v>-63.742000000000019</v>
      </c>
      <c r="Q36" s="29">
        <f>-130.945-S36-R36</f>
        <v>-55.169999999999987</v>
      </c>
      <c r="R36" s="29">
        <f>-75.775-S36</f>
        <v>-57.632000000000005</v>
      </c>
      <c r="S36" s="29">
        <v>-18.143000000000001</v>
      </c>
      <c r="T36" s="29">
        <v>-6.6739999999999995</v>
      </c>
      <c r="U36" s="29">
        <v>-27.364999999999995</v>
      </c>
      <c r="V36" s="29">
        <v>-12.655999999999999</v>
      </c>
      <c r="W36" s="29">
        <v>-1.738999999999999</v>
      </c>
      <c r="X36" s="29">
        <v>-3.3050000000000139</v>
      </c>
      <c r="Y36" s="29">
        <v>-16.945000000000007</v>
      </c>
    </row>
    <row r="37" spans="1:32" s="27" customFormat="1">
      <c r="A37" s="27" t="s">
        <v>69</v>
      </c>
      <c r="B37" s="27">
        <f t="shared" ref="B37:C37" si="25">+B35+B36</f>
        <v>-20.8</v>
      </c>
      <c r="C37" s="27">
        <f t="shared" si="25"/>
        <v>-47.7</v>
      </c>
      <c r="D37" s="27">
        <f t="shared" ref="D37:Y37" si="26">+D35+D36</f>
        <v>14.699999999999974</v>
      </c>
      <c r="E37" s="27">
        <f t="shared" si="26"/>
        <v>-48.79999999999999</v>
      </c>
      <c r="F37" s="27">
        <f t="shared" si="26"/>
        <v>223.9</v>
      </c>
      <c r="G37" s="27">
        <f t="shared" si="26"/>
        <v>-97.7</v>
      </c>
      <c r="H37" s="27">
        <f t="shared" si="26"/>
        <v>44.200000000000024</v>
      </c>
      <c r="I37" s="27">
        <f t="shared" si="26"/>
        <v>1.6999999999999744</v>
      </c>
      <c r="J37" s="27">
        <f t="shared" si="26"/>
        <v>-15.899999999999991</v>
      </c>
      <c r="K37" s="27">
        <f t="shared" si="26"/>
        <v>-51.5</v>
      </c>
      <c r="L37" s="27">
        <f t="shared" si="26"/>
        <v>53.900000000000063</v>
      </c>
      <c r="M37" s="27">
        <f t="shared" si="26"/>
        <v>-23.100000000000009</v>
      </c>
      <c r="N37" s="27">
        <f t="shared" si="26"/>
        <v>24.800000000000004</v>
      </c>
      <c r="O37" s="27">
        <f t="shared" si="26"/>
        <v>-58.2</v>
      </c>
      <c r="P37" s="27">
        <f t="shared" si="26"/>
        <v>22.330999999999989</v>
      </c>
      <c r="Q37" s="27">
        <f t="shared" si="26"/>
        <v>-42.257999999999988</v>
      </c>
      <c r="R37" s="27">
        <f t="shared" si="26"/>
        <v>-74.162000000000006</v>
      </c>
      <c r="S37" s="27">
        <f t="shared" si="26"/>
        <v>-69.50800000000001</v>
      </c>
      <c r="T37" s="27">
        <f t="shared" si="26"/>
        <v>115.50300000000001</v>
      </c>
      <c r="U37" s="27">
        <f t="shared" si="26"/>
        <v>15.598000000000006</v>
      </c>
      <c r="V37" s="27">
        <f t="shared" si="26"/>
        <v>21.789000000000001</v>
      </c>
      <c r="W37" s="27">
        <f t="shared" si="26"/>
        <v>2.0710000000000011</v>
      </c>
      <c r="X37" s="27">
        <f t="shared" si="26"/>
        <v>44.178999999999988</v>
      </c>
      <c r="Y37" s="27">
        <f t="shared" si="26"/>
        <v>9.9689999999999905</v>
      </c>
    </row>
    <row r="39" spans="1:32" s="35" customFormat="1">
      <c r="A39" s="34" t="s">
        <v>70</v>
      </c>
      <c r="B39" s="20">
        <v>356.2</v>
      </c>
      <c r="C39" s="20">
        <v>356.2</v>
      </c>
      <c r="D39" s="20">
        <v>356</v>
      </c>
      <c r="E39" s="20">
        <v>352.3</v>
      </c>
      <c r="F39" s="20">
        <v>357.6</v>
      </c>
      <c r="G39" s="20">
        <f>199.7+291.2</f>
        <v>490.9</v>
      </c>
      <c r="H39" s="20">
        <v>318</v>
      </c>
      <c r="I39" s="20">
        <f>209.9+141</f>
        <v>350.9</v>
      </c>
      <c r="J39" s="20">
        <f>229.5+82</f>
        <v>311.5</v>
      </c>
      <c r="K39" s="20">
        <f>191.5+95</f>
        <v>286.5</v>
      </c>
      <c r="L39" s="20">
        <f>229.5+8</f>
        <v>237.5</v>
      </c>
      <c r="M39" s="20">
        <f>158+12.29</f>
        <v>170.29</v>
      </c>
      <c r="N39" s="20">
        <v>141.69999999999999</v>
      </c>
      <c r="O39" s="20">
        <v>141.69999999999999</v>
      </c>
      <c r="P39" s="20">
        <v>145.69999999999999</v>
      </c>
      <c r="Q39" s="20">
        <f>240+95</f>
        <v>335</v>
      </c>
      <c r="R39" s="20">
        <v>175</v>
      </c>
      <c r="S39" s="20">
        <v>150</v>
      </c>
      <c r="T39" s="20">
        <v>150</v>
      </c>
      <c r="U39" s="20">
        <v>150</v>
      </c>
      <c r="V39" s="20">
        <v>150</v>
      </c>
      <c r="W39" s="20"/>
      <c r="X39" s="20"/>
      <c r="Y39" s="20"/>
      <c r="AA39" s="33"/>
    </row>
    <row r="40" spans="1:32" s="35" customFormat="1">
      <c r="A40" s="34" t="s">
        <v>71</v>
      </c>
      <c r="B40" s="20">
        <f>2712+3.7</f>
        <v>2715.7</v>
      </c>
      <c r="C40" s="20">
        <f>2719.1+8.5</f>
        <v>2727.6</v>
      </c>
      <c r="D40" s="20">
        <f>2726.1+13.5</f>
        <v>2739.6</v>
      </c>
      <c r="E40" s="20">
        <f>2733.2+3</f>
        <v>2736.2</v>
      </c>
      <c r="F40" s="20">
        <f>2740.3+8.5</f>
        <v>2748.8</v>
      </c>
      <c r="G40" s="20">
        <f>2747.3+12.9</f>
        <v>2760.2000000000003</v>
      </c>
      <c r="H40" s="20">
        <f>2754.4+14.8</f>
        <v>2769.2000000000003</v>
      </c>
      <c r="I40" s="20">
        <f>2761.4+5.8</f>
        <v>2767.2000000000003</v>
      </c>
      <c r="J40" s="20">
        <f>2768.5+11</f>
        <v>2779.5</v>
      </c>
      <c r="K40" s="20">
        <f>2775.6+14.2</f>
        <v>2789.7999999999997</v>
      </c>
      <c r="L40" s="20">
        <f>2782.6+17.2</f>
        <v>2799.7999999999997</v>
      </c>
      <c r="M40" s="20">
        <f>2789.688+8.55</f>
        <v>2798.2380000000003</v>
      </c>
      <c r="N40" s="20">
        <f>2796.75+15.658</f>
        <v>2812.4079999999999</v>
      </c>
      <c r="O40" s="20">
        <v>2803.8130000000001</v>
      </c>
      <c r="P40" s="20">
        <v>2810.875</v>
      </c>
      <c r="Q40" s="20">
        <v>2817.9380000000001</v>
      </c>
      <c r="R40" s="20">
        <f>2825+7.516</f>
        <v>2832.5160000000001</v>
      </c>
      <c r="S40" s="20">
        <f>1394.037-S39</f>
        <v>1244.037</v>
      </c>
      <c r="T40" s="20">
        <f>1397.47-T39</f>
        <v>1247.47</v>
      </c>
      <c r="U40" s="20">
        <f>1404.973-U39</f>
        <v>1254.973</v>
      </c>
      <c r="V40" s="20">
        <f>1404.973-V39</f>
        <v>1254.973</v>
      </c>
      <c r="W40" s="20"/>
      <c r="X40" s="20"/>
      <c r="Y40" s="20"/>
      <c r="AA40" s="33"/>
      <c r="AB40" s="33"/>
    </row>
    <row r="41" spans="1:32" s="35" customFormat="1">
      <c r="A41" s="34" t="s">
        <v>72</v>
      </c>
      <c r="B41" s="20">
        <f t="shared" ref="B41:L41" si="27">B39+B40+1000</f>
        <v>4071.8999999999996</v>
      </c>
      <c r="C41" s="20">
        <f t="shared" si="27"/>
        <v>4083.7999999999997</v>
      </c>
      <c r="D41" s="20">
        <f t="shared" si="27"/>
        <v>4095.6</v>
      </c>
      <c r="E41" s="20">
        <f t="shared" si="27"/>
        <v>4088.5</v>
      </c>
      <c r="F41" s="20">
        <f t="shared" si="27"/>
        <v>4106.3999999999996</v>
      </c>
      <c r="G41" s="20">
        <f t="shared" si="27"/>
        <v>4251.1000000000004</v>
      </c>
      <c r="H41" s="20">
        <f t="shared" si="27"/>
        <v>4087.2000000000003</v>
      </c>
      <c r="I41" s="20">
        <f t="shared" si="27"/>
        <v>4118.1000000000004</v>
      </c>
      <c r="J41" s="20">
        <f t="shared" si="27"/>
        <v>4091</v>
      </c>
      <c r="K41" s="20">
        <f t="shared" si="27"/>
        <v>4076.2999999999997</v>
      </c>
      <c r="L41" s="20">
        <f t="shared" si="27"/>
        <v>4037.2999999999997</v>
      </c>
      <c r="M41" s="20">
        <f>M39+M40+1000+8.55</f>
        <v>3977.0780000000004</v>
      </c>
      <c r="N41" s="20">
        <f>N39+N40+1000+15.658</f>
        <v>3969.7659999999996</v>
      </c>
      <c r="O41" s="20">
        <f>O39+O40+1000+21.313+3.596</f>
        <v>3970.422</v>
      </c>
      <c r="P41" s="20">
        <f>P39+P40+1000+20.771+7.352</f>
        <v>3984.6979999999999</v>
      </c>
      <c r="Q41" s="20">
        <f>3780.366+0.415</f>
        <v>3780.7809999999999</v>
      </c>
      <c r="R41" s="20">
        <f>R39+R40+700+3.237</f>
        <v>3710.7530000000002</v>
      </c>
      <c r="S41" s="20">
        <v>1894.037</v>
      </c>
      <c r="T41" s="20">
        <v>1897.47</v>
      </c>
      <c r="U41" s="20">
        <v>1904.973</v>
      </c>
      <c r="V41" s="20">
        <v>1904.973</v>
      </c>
      <c r="W41" s="20"/>
      <c r="X41" s="20"/>
      <c r="Y41" s="20"/>
      <c r="AA41" s="33"/>
      <c r="AB41" s="33"/>
    </row>
    <row r="42" spans="1:32" s="35" customFormat="1">
      <c r="A42" s="34" t="s">
        <v>73</v>
      </c>
      <c r="B42" s="36">
        <v>2658</v>
      </c>
      <c r="C42" s="36">
        <v>2658</v>
      </c>
      <c r="D42" s="36">
        <v>2658</v>
      </c>
      <c r="E42" s="36">
        <v>2658</v>
      </c>
      <c r="F42" s="36">
        <v>2658</v>
      </c>
      <c r="G42" s="36">
        <v>2658</v>
      </c>
      <c r="H42" s="36">
        <v>2658</v>
      </c>
      <c r="I42" s="36">
        <v>0</v>
      </c>
      <c r="J42" s="36">
        <v>0</v>
      </c>
      <c r="K42" s="36">
        <v>0</v>
      </c>
      <c r="L42" s="36">
        <v>0</v>
      </c>
      <c r="M42" s="36">
        <v>0</v>
      </c>
      <c r="N42" s="36">
        <v>0</v>
      </c>
      <c r="O42" s="36">
        <v>0</v>
      </c>
      <c r="P42" s="36">
        <v>0</v>
      </c>
      <c r="Q42" s="36">
        <v>0</v>
      </c>
      <c r="R42" s="36">
        <v>0</v>
      </c>
      <c r="S42" s="36">
        <v>0</v>
      </c>
      <c r="T42" s="36">
        <v>0</v>
      </c>
      <c r="U42" s="36">
        <v>0</v>
      </c>
      <c r="V42" s="36">
        <v>0</v>
      </c>
      <c r="W42" s="36"/>
      <c r="X42" s="36"/>
      <c r="Y42" s="36"/>
      <c r="AA42" s="33"/>
      <c r="AB42" s="33"/>
    </row>
    <row r="43" spans="1:32">
      <c r="B43" s="35"/>
      <c r="C43" s="35"/>
      <c r="D43" s="35"/>
      <c r="E43" s="35"/>
      <c r="F43" s="35"/>
      <c r="G43" s="35"/>
      <c r="H43" s="35"/>
      <c r="I43" s="35"/>
      <c r="J43" s="35"/>
      <c r="K43" s="35"/>
      <c r="L43" s="35"/>
      <c r="M43" s="35"/>
      <c r="N43" s="35"/>
      <c r="O43" s="35"/>
      <c r="P43" s="35"/>
      <c r="Q43" s="35"/>
      <c r="R43" s="35"/>
      <c r="S43" s="35"/>
      <c r="T43" s="35"/>
    </row>
    <row r="44" spans="1:32">
      <c r="A44" s="19" t="s">
        <v>74</v>
      </c>
      <c r="B44" s="28">
        <v>247.8</v>
      </c>
      <c r="C44" s="28">
        <v>286.7</v>
      </c>
      <c r="D44" s="28">
        <v>349.6</v>
      </c>
      <c r="E44" s="28">
        <v>347.1</v>
      </c>
      <c r="F44" s="28">
        <v>420</v>
      </c>
      <c r="G44" s="28">
        <v>339.1</v>
      </c>
      <c r="H44" s="28">
        <v>52.1</v>
      </c>
      <c r="I44" s="28">
        <v>53</v>
      </c>
      <c r="J44" s="28">
        <v>50.2</v>
      </c>
      <c r="K44" s="28">
        <v>51.7</v>
      </c>
      <c r="L44" s="28">
        <v>77.599999999999994</v>
      </c>
      <c r="M44" s="28">
        <v>54.201999999999998</v>
      </c>
      <c r="N44" s="28">
        <v>115.94199999999999</v>
      </c>
      <c r="O44" s="28">
        <v>112.006</v>
      </c>
      <c r="P44" s="28">
        <v>225</v>
      </c>
      <c r="Q44" s="28">
        <v>74.403000000000006</v>
      </c>
      <c r="R44" s="28">
        <v>58.133000000000003</v>
      </c>
      <c r="S44" s="28">
        <v>75.430000000000007</v>
      </c>
      <c r="T44" s="28">
        <v>163.07300000000001</v>
      </c>
      <c r="U44" s="28">
        <v>66.266999999999996</v>
      </c>
      <c r="V44" s="28">
        <v>186.48500000000001</v>
      </c>
      <c r="W44" s="28"/>
      <c r="X44" s="28"/>
      <c r="Y44" s="28"/>
    </row>
    <row r="46" spans="1:32">
      <c r="A46" s="14" t="s">
        <v>75</v>
      </c>
      <c r="B46" s="58">
        <f>SUM(B12:E12)</f>
        <v>4233.3999999999996</v>
      </c>
      <c r="C46" s="58">
        <f>SUM(C12:F12)</f>
        <v>3923.7</v>
      </c>
      <c r="D46" s="58">
        <f>SUM(D12:G12)</f>
        <v>4070.1999999999994</v>
      </c>
      <c r="E46" s="58">
        <f>SUM(E12:H12)</f>
        <v>4289</v>
      </c>
      <c r="F46" s="58">
        <f t="shared" ref="F46:P46" si="28">SUM(F12:I12)</f>
        <v>4523.7000000000007</v>
      </c>
      <c r="G46" s="58">
        <f t="shared" si="28"/>
        <v>4980.8</v>
      </c>
      <c r="H46" s="58">
        <f t="shared" si="28"/>
        <v>4990.3999999999996</v>
      </c>
      <c r="I46" s="58">
        <f t="shared" si="28"/>
        <v>4988.6530000000002</v>
      </c>
      <c r="J46" s="58">
        <f t="shared" si="28"/>
        <v>4944.353000000001</v>
      </c>
      <c r="K46" s="58">
        <f t="shared" si="28"/>
        <v>4886.2270000000008</v>
      </c>
      <c r="L46" s="58">
        <f t="shared" si="28"/>
        <v>4848.33</v>
      </c>
      <c r="M46" s="58">
        <f t="shared" si="28"/>
        <v>4741.6769999999997</v>
      </c>
      <c r="N46" s="58">
        <f t="shared" si="28"/>
        <v>4776.777</v>
      </c>
      <c r="O46" s="58">
        <f t="shared" si="28"/>
        <v>4791.1029999999992</v>
      </c>
      <c r="P46" s="58">
        <f t="shared" si="28"/>
        <v>4805</v>
      </c>
      <c r="Q46" s="51">
        <v>4672</v>
      </c>
      <c r="R46" s="33">
        <f>SUM(R12:U12)</f>
        <v>3870.4939999999997</v>
      </c>
      <c r="S46" s="33">
        <f>SUM(S12:V12)</f>
        <v>3392.9089999999997</v>
      </c>
      <c r="T46" s="33">
        <f>SUM(T12:W12)</f>
        <v>3002.3029999999999</v>
      </c>
      <c r="U46" s="33">
        <f>SUM(U12:X12)</f>
        <v>3066.6950000000002</v>
      </c>
      <c r="V46" s="33">
        <f>SUM(V12:Y12)</f>
        <v>3092.1279999999997</v>
      </c>
      <c r="Z46" s="101"/>
      <c r="AA46" s="98"/>
    </row>
    <row r="47" spans="1:32">
      <c r="A47" s="14" t="s">
        <v>76</v>
      </c>
      <c r="B47" s="58">
        <f t="shared" ref="B47:C47" si="29">+B27</f>
        <v>462.6</v>
      </c>
      <c r="C47" s="58">
        <f t="shared" si="29"/>
        <v>423.2</v>
      </c>
      <c r="D47" s="58">
        <f t="shared" ref="D47:E47" si="30">+D27</f>
        <v>431.2</v>
      </c>
      <c r="E47" s="58">
        <f t="shared" si="30"/>
        <v>498.2</v>
      </c>
      <c r="F47" s="58">
        <f t="shared" ref="F47:G47" si="31">+F27</f>
        <v>548.6</v>
      </c>
      <c r="G47" s="58">
        <f t="shared" si="31"/>
        <v>615.4</v>
      </c>
      <c r="H47" s="58">
        <f t="shared" ref="H47:J47" si="32">+H27</f>
        <v>631.1</v>
      </c>
      <c r="I47" s="58">
        <f t="shared" si="32"/>
        <v>631.70000000000005</v>
      </c>
      <c r="J47" s="58">
        <f t="shared" si="32"/>
        <v>628.6</v>
      </c>
      <c r="K47" s="58">
        <f t="shared" ref="K47:P47" si="33">+K27</f>
        <v>633.9</v>
      </c>
      <c r="L47" s="58">
        <f t="shared" si="33"/>
        <v>641.1</v>
      </c>
      <c r="M47" s="58">
        <f t="shared" si="33"/>
        <v>624.40599999999995</v>
      </c>
      <c r="N47" s="58">
        <f t="shared" si="33"/>
        <v>618.4</v>
      </c>
      <c r="O47" s="58">
        <f t="shared" si="33"/>
        <v>618.6</v>
      </c>
      <c r="P47" s="58">
        <f t="shared" si="33"/>
        <v>612.38499999999999</v>
      </c>
      <c r="Q47" s="51">
        <v>652</v>
      </c>
      <c r="R47" s="33">
        <f>+R27</f>
        <v>446.89499999999998</v>
      </c>
      <c r="S47" s="33">
        <f>+S27</f>
        <v>384.517</v>
      </c>
      <c r="T47" s="33">
        <f>+T27</f>
        <v>345.86500000000001</v>
      </c>
      <c r="U47" s="33">
        <f>+U27</f>
        <v>348.16800000000001</v>
      </c>
      <c r="V47" s="33">
        <f>+V27</f>
        <v>342.43299999999999</v>
      </c>
    </row>
    <row r="48" spans="1:32">
      <c r="A48" s="14" t="s">
        <v>77</v>
      </c>
      <c r="B48" s="33">
        <f t="shared" ref="B48:V48" si="34">+SUM(B37:E37)</f>
        <v>-102.60000000000002</v>
      </c>
      <c r="C48" s="33">
        <f t="shared" si="34"/>
        <v>142.1</v>
      </c>
      <c r="D48" s="33">
        <f t="shared" si="34"/>
        <v>92.09999999999998</v>
      </c>
      <c r="E48" s="33">
        <f t="shared" si="34"/>
        <v>121.60000000000005</v>
      </c>
      <c r="F48" s="33">
        <f t="shared" si="34"/>
        <v>172.10000000000002</v>
      </c>
      <c r="G48" s="33">
        <f t="shared" si="34"/>
        <v>-67.699999999999989</v>
      </c>
      <c r="H48" s="33">
        <f t="shared" si="34"/>
        <v>-21.499999999999993</v>
      </c>
      <c r="I48" s="33">
        <f t="shared" si="34"/>
        <v>-11.799999999999955</v>
      </c>
      <c r="J48" s="33">
        <f t="shared" si="34"/>
        <v>-36.599999999999937</v>
      </c>
      <c r="K48" s="33">
        <f t="shared" si="34"/>
        <v>4.1000000000000583</v>
      </c>
      <c r="L48" s="33">
        <f t="shared" si="34"/>
        <v>-2.5999999999999446</v>
      </c>
      <c r="M48" s="33">
        <f t="shared" si="34"/>
        <v>-34.169000000000018</v>
      </c>
      <c r="N48" s="33">
        <f t="shared" si="34"/>
        <v>-53.326999999999998</v>
      </c>
      <c r="O48" s="33">
        <f t="shared" si="34"/>
        <v>-152.28900000000002</v>
      </c>
      <c r="P48" s="33">
        <f t="shared" si="34"/>
        <v>-163.59700000000001</v>
      </c>
      <c r="Q48" s="33">
        <f t="shared" si="34"/>
        <v>-70.424999999999983</v>
      </c>
      <c r="R48" s="33">
        <f t="shared" si="34"/>
        <v>-12.568999999999996</v>
      </c>
      <c r="S48" s="33">
        <f t="shared" si="34"/>
        <v>83.382000000000005</v>
      </c>
      <c r="T48" s="33">
        <f t="shared" si="34"/>
        <v>154.96100000000004</v>
      </c>
      <c r="U48" s="33">
        <f t="shared" si="34"/>
        <v>83.637</v>
      </c>
      <c r="V48" s="33">
        <f t="shared" si="34"/>
        <v>78.007999999999981</v>
      </c>
      <c r="Z48" s="98"/>
    </row>
    <row r="49" spans="1:25">
      <c r="B49" s="33"/>
      <c r="C49" s="33"/>
      <c r="D49" s="33"/>
      <c r="E49" s="33"/>
      <c r="F49" s="33"/>
      <c r="G49" s="33"/>
      <c r="H49" s="33"/>
      <c r="I49" s="33"/>
      <c r="J49" s="33"/>
      <c r="K49" s="33"/>
      <c r="L49" s="33"/>
      <c r="M49" s="33"/>
      <c r="N49" s="33"/>
      <c r="O49" s="33"/>
      <c r="P49" s="33"/>
    </row>
    <row r="50" spans="1:25" s="37" customFormat="1">
      <c r="A50" s="37" t="s">
        <v>78</v>
      </c>
      <c r="B50" s="37">
        <f t="shared" ref="B50" si="35">+SUM(B39:B40)/B47</f>
        <v>6.6405101599654115</v>
      </c>
      <c r="C50" s="37">
        <f t="shared" ref="C50:D50" si="36">+SUM(C39:C40)/C47</f>
        <v>7.2868620037807181</v>
      </c>
      <c r="D50" s="37">
        <f t="shared" si="36"/>
        <v>7.179035250463822</v>
      </c>
      <c r="E50" s="37">
        <f t="shared" ref="E50:F50" si="37">+SUM(E39:E40)/E47</f>
        <v>6.1993175431553595</v>
      </c>
      <c r="F50" s="37">
        <f t="shared" si="37"/>
        <v>5.6624134159679187</v>
      </c>
      <c r="G50" s="37">
        <f t="shared" ref="G50:H50" si="38">+SUM(G39:G40)/G47</f>
        <v>5.2829054273643168</v>
      </c>
      <c r="H50" s="37">
        <f t="shared" si="38"/>
        <v>4.891776263666614</v>
      </c>
      <c r="I50" s="37">
        <f t="shared" ref="I50:J50" si="39">+SUM(I39:I40)/I47</f>
        <v>4.9360455912616752</v>
      </c>
      <c r="J50" s="37">
        <f t="shared" si="39"/>
        <v>4.9172764874323889</v>
      </c>
      <c r="K50" s="37">
        <f t="shared" ref="K50:L50" si="40">+SUM(K39:K40)/K47</f>
        <v>4.8529736551506542</v>
      </c>
      <c r="L50" s="37">
        <f t="shared" si="40"/>
        <v>4.7376384339416617</v>
      </c>
      <c r="M50" s="37">
        <f t="shared" ref="M50:V50" si="41">+SUM(M39:M40)/M47</f>
        <v>4.7541631566640943</v>
      </c>
      <c r="N50" s="37">
        <f t="shared" si="41"/>
        <v>4.7770181112548507</v>
      </c>
      <c r="O50" s="37">
        <f t="shared" si="41"/>
        <v>4.7615793727772386</v>
      </c>
      <c r="P50" s="37">
        <f t="shared" si="41"/>
        <v>4.8279677000579699</v>
      </c>
      <c r="Q50" s="37">
        <f t="shared" si="41"/>
        <v>4.8357944785276077</v>
      </c>
      <c r="R50" s="37">
        <f t="shared" si="41"/>
        <v>6.7298045402163824</v>
      </c>
      <c r="S50" s="37">
        <f t="shared" si="41"/>
        <v>3.6254235833526218</v>
      </c>
      <c r="T50" s="37">
        <f t="shared" si="41"/>
        <v>4.0405071342864991</v>
      </c>
      <c r="U50" s="37">
        <f t="shared" si="41"/>
        <v>4.0353306449759883</v>
      </c>
      <c r="V50" s="37">
        <f t="shared" si="41"/>
        <v>4.1029135626531321</v>
      </c>
    </row>
    <row r="51" spans="1:25" s="37" customFormat="1">
      <c r="A51" s="37" t="s">
        <v>79</v>
      </c>
      <c r="B51" s="37">
        <f t="shared" ref="B51" si="42">+B41/B47</f>
        <v>8.8022049286640716</v>
      </c>
      <c r="C51" s="37">
        <f t="shared" ref="C51:D51" si="43">+C41/C47</f>
        <v>9.6498109640831746</v>
      </c>
      <c r="D51" s="37">
        <f t="shared" si="43"/>
        <v>9.4981447124304275</v>
      </c>
      <c r="E51" s="37">
        <f t="shared" ref="E51:F51" si="44">+E41/E47</f>
        <v>8.2065435568044958</v>
      </c>
      <c r="F51" s="37">
        <f t="shared" si="44"/>
        <v>7.4852351440029157</v>
      </c>
      <c r="G51" s="37">
        <f t="shared" ref="G51:H51" si="45">+G41/G47</f>
        <v>6.9078648033799164</v>
      </c>
      <c r="H51" s="37">
        <f t="shared" si="45"/>
        <v>6.4763112026620187</v>
      </c>
      <c r="I51" s="37">
        <f t="shared" ref="I51:J51" si="46">+I41/I47</f>
        <v>6.5190755105271494</v>
      </c>
      <c r="J51" s="37">
        <f t="shared" si="46"/>
        <v>6.5081132675787465</v>
      </c>
      <c r="K51" s="37">
        <f t="shared" ref="K51:L51" si="47">+K41/K47</f>
        <v>6.4305095440921276</v>
      </c>
      <c r="L51" s="37">
        <f t="shared" si="47"/>
        <v>6.2974574949305877</v>
      </c>
      <c r="M51" s="37">
        <f t="shared" ref="M51:V51" si="48">+M41/M47</f>
        <v>6.3693782570955451</v>
      </c>
      <c r="N51" s="37">
        <f t="shared" si="48"/>
        <v>6.4194146183699869</v>
      </c>
      <c r="O51" s="37">
        <f t="shared" si="48"/>
        <v>6.4183996120271578</v>
      </c>
      <c r="P51" s="37">
        <f t="shared" si="48"/>
        <v>6.5068510822440127</v>
      </c>
      <c r="Q51" s="37">
        <f t="shared" si="48"/>
        <v>5.7987438650306746</v>
      </c>
      <c r="R51" s="37">
        <f t="shared" si="48"/>
        <v>8.3034113158571934</v>
      </c>
      <c r="S51" s="37">
        <f t="shared" si="48"/>
        <v>4.925756208438119</v>
      </c>
      <c r="T51" s="37">
        <f t="shared" si="48"/>
        <v>5.4861578939759736</v>
      </c>
      <c r="U51" s="37">
        <f t="shared" si="48"/>
        <v>5.4714189701523397</v>
      </c>
      <c r="V51" s="37">
        <f t="shared" si="48"/>
        <v>5.5630532104090431</v>
      </c>
    </row>
    <row r="52" spans="1:25" s="37" customFormat="1">
      <c r="A52" s="37" t="s">
        <v>80</v>
      </c>
      <c r="B52" s="37">
        <f t="shared" ref="B52" si="49">+(B41-B44)/B47</f>
        <v>8.2665369649805438</v>
      </c>
      <c r="C52" s="37">
        <f t="shared" ref="C52:D52" si="50">+(C41-C44)/C47</f>
        <v>8.9723534971644607</v>
      </c>
      <c r="D52" s="37">
        <f t="shared" si="50"/>
        <v>8.6873840445269011</v>
      </c>
      <c r="E52" s="37">
        <f t="shared" ref="E52:F52" si="51">+(E41-E44)/E47</f>
        <v>7.5098354074668814</v>
      </c>
      <c r="F52" s="37">
        <f t="shared" si="51"/>
        <v>6.7196500182282159</v>
      </c>
      <c r="G52" s="37">
        <f t="shared" ref="G52:H52" si="52">+(G41-G44)/G47</f>
        <v>6.3568410789730265</v>
      </c>
      <c r="H52" s="37">
        <f t="shared" si="52"/>
        <v>6.3937569323403585</v>
      </c>
      <c r="I52" s="37">
        <f t="shared" ref="I52:J52" si="53">+(I41-I44)/I47</f>
        <v>6.4351749248060788</v>
      </c>
      <c r="J52" s="37">
        <f t="shared" si="53"/>
        <v>6.4282532612153993</v>
      </c>
      <c r="K52" s="37">
        <f t="shared" ref="K52:L52" si="54">+(K41-K44)/K47</f>
        <v>6.3489509386338536</v>
      </c>
      <c r="L52" s="37">
        <f t="shared" si="54"/>
        <v>6.1764155357978465</v>
      </c>
      <c r="M52" s="37">
        <f t="shared" ref="M52:V52" si="55">+(M41-M44)/M47</f>
        <v>6.2825725569581339</v>
      </c>
      <c r="N52" s="37">
        <f t="shared" si="55"/>
        <v>6.2319275549805946</v>
      </c>
      <c r="O52" s="37">
        <f t="shared" si="55"/>
        <v>6.2373359198189462</v>
      </c>
      <c r="P52" s="37">
        <f t="shared" si="55"/>
        <v>6.1394351592543908</v>
      </c>
      <c r="Q52" s="37">
        <f t="shared" si="55"/>
        <v>5.6846288343558289</v>
      </c>
      <c r="R52" s="37">
        <f t="shared" si="55"/>
        <v>8.1733293055415714</v>
      </c>
      <c r="S52" s="37">
        <f t="shared" si="55"/>
        <v>4.7295880286177203</v>
      </c>
      <c r="T52" s="37">
        <f t="shared" si="55"/>
        <v>5.0146646813062894</v>
      </c>
      <c r="U52" s="37">
        <f t="shared" si="55"/>
        <v>5.2810884400634173</v>
      </c>
      <c r="V52" s="37">
        <f t="shared" si="55"/>
        <v>5.018464925985521</v>
      </c>
    </row>
    <row r="53" spans="1:25" s="38" customFormat="1">
      <c r="A53" s="38" t="s">
        <v>81</v>
      </c>
      <c r="B53" s="38">
        <f t="shared" ref="B53" si="56">+B48/B41</f>
        <v>-2.5197082443085547E-2</v>
      </c>
      <c r="C53" s="38">
        <f t="shared" ref="C53:D53" si="57">+C48/C41</f>
        <v>3.479602331162153E-2</v>
      </c>
      <c r="D53" s="38">
        <f t="shared" si="57"/>
        <v>2.2487547612071487E-2</v>
      </c>
      <c r="E53" s="38">
        <f t="shared" ref="E53:F53" si="58">+E48/E41</f>
        <v>2.9741959153723872E-2</v>
      </c>
      <c r="F53" s="38">
        <f t="shared" si="58"/>
        <v>4.1910188973309961E-2</v>
      </c>
      <c r="G53" s="38">
        <f t="shared" ref="G53:H53" si="59">+G48/G41</f>
        <v>-1.5925289924960593E-2</v>
      </c>
      <c r="H53" s="38">
        <f t="shared" si="59"/>
        <v>-5.2603249168134639E-3</v>
      </c>
      <c r="I53" s="38">
        <f t="shared" ref="I53:J53" si="60">+I48/I41</f>
        <v>-2.865399091814175E-3</v>
      </c>
      <c r="J53" s="38">
        <f t="shared" si="60"/>
        <v>-8.9464678562698446E-3</v>
      </c>
      <c r="K53" s="38">
        <f t="shared" ref="K53:P53" si="61">+K48/K41</f>
        <v>1.0058140961165907E-3</v>
      </c>
      <c r="L53" s="38">
        <f t="shared" si="61"/>
        <v>-6.4399474896587939E-4</v>
      </c>
      <c r="M53" s="38">
        <f t="shared" si="61"/>
        <v>-8.5914834961748343E-3</v>
      </c>
      <c r="N53" s="38">
        <f t="shared" si="61"/>
        <v>-1.3433285488363799E-2</v>
      </c>
      <c r="O53" s="38">
        <f t="shared" si="61"/>
        <v>-3.8355872499195302E-2</v>
      </c>
      <c r="P53" s="38">
        <f t="shared" si="61"/>
        <v>-4.1056310917414574E-2</v>
      </c>
      <c r="Q53" s="38">
        <f t="shared" ref="Q53:V53" si="62">+Q48/Q41</f>
        <v>-1.8627103765068643E-2</v>
      </c>
      <c r="R53" s="38">
        <f t="shared" si="62"/>
        <v>-3.3871831404569354E-3</v>
      </c>
      <c r="S53" s="38">
        <f t="shared" si="62"/>
        <v>4.4023427208655375E-2</v>
      </c>
      <c r="T53" s="38">
        <f t="shared" si="62"/>
        <v>8.1667167333343893E-2</v>
      </c>
      <c r="U53" s="38">
        <f t="shared" si="62"/>
        <v>4.3904559277218105E-2</v>
      </c>
      <c r="V53" s="38">
        <f t="shared" si="62"/>
        <v>4.0949661753736134E-2</v>
      </c>
    </row>
    <row r="54" spans="1:25" s="38" customFormat="1">
      <c r="A54" s="39" t="s">
        <v>82</v>
      </c>
      <c r="B54" s="40">
        <v>8.5</v>
      </c>
      <c r="C54" s="40">
        <v>8.5</v>
      </c>
      <c r="D54" s="40">
        <v>8.5</v>
      </c>
      <c r="E54" s="40">
        <v>8.5</v>
      </c>
      <c r="F54" s="40">
        <v>8.5</v>
      </c>
      <c r="G54" s="40">
        <v>8.5</v>
      </c>
      <c r="H54" s="40">
        <v>8.5</v>
      </c>
      <c r="I54" s="40">
        <v>8.5</v>
      </c>
      <c r="J54" s="40">
        <v>8.5</v>
      </c>
      <c r="K54" s="40">
        <v>8.5</v>
      </c>
      <c r="L54" s="40">
        <v>8.5</v>
      </c>
      <c r="M54" s="40">
        <v>8.5</v>
      </c>
      <c r="N54" s="40">
        <v>8.5</v>
      </c>
      <c r="O54" s="40">
        <v>8.5</v>
      </c>
      <c r="P54" s="40">
        <v>8.5</v>
      </c>
      <c r="Q54" s="40">
        <v>8.5</v>
      </c>
      <c r="R54" s="40">
        <v>8.5</v>
      </c>
      <c r="S54" s="40">
        <v>8.5</v>
      </c>
      <c r="T54" s="40">
        <v>8.5</v>
      </c>
      <c r="U54" s="40">
        <v>8.5</v>
      </c>
      <c r="V54" s="40">
        <v>8.5</v>
      </c>
      <c r="W54" s="39"/>
      <c r="X54" s="39"/>
      <c r="Y54" s="39"/>
    </row>
    <row r="55" spans="1:25" s="38" customFormat="1">
      <c r="A55" s="38" t="s">
        <v>83</v>
      </c>
      <c r="B55" s="41">
        <f t="shared" ref="B55" si="63">IF(B42=0,IF(B54="","","*"&amp;TEXT(B54,"0.0x")),(B41+B42-B44)/B47)</f>
        <v>14.012321660181581</v>
      </c>
      <c r="C55" s="41">
        <f t="shared" ref="C55:D55" si="64">IF(C42=0,IF(C54="","","*"&amp;TEXT(C54,"0.0x")),(C41+C42-C44)/C47)</f>
        <v>15.253071833648391</v>
      </c>
      <c r="D55" s="41">
        <f t="shared" si="64"/>
        <v>14.851576994434138</v>
      </c>
      <c r="E55" s="41">
        <f t="shared" ref="E55:F55" si="65">IF(E42=0,IF(E54="","","*"&amp;TEXT(E54,"0.0x")),(E41+E42-E44)/E47)</f>
        <v>12.845042151746286</v>
      </c>
      <c r="F55" s="41">
        <f t="shared" si="65"/>
        <v>11.564710171345242</v>
      </c>
      <c r="G55" s="41">
        <f t="shared" ref="G55:H55" si="66">IF(G42=0,IF(G54="","","*"&amp;TEXT(G54,"0.0x")),(G41+G42-G44)/G47)</f>
        <v>10.67598310042249</v>
      </c>
      <c r="H55" s="41">
        <f t="shared" si="66"/>
        <v>10.605450800190145</v>
      </c>
      <c r="I55" s="41" t="str">
        <f t="shared" ref="I55:J55" si="67">IF(I42=0,IF(I54="","","*"&amp;TEXT(I54,"0.0x")),(I41+I42-I44)/I47)</f>
        <v>*8.5x</v>
      </c>
      <c r="J55" s="41" t="str">
        <f t="shared" si="67"/>
        <v>*8.5x</v>
      </c>
      <c r="K55" s="41" t="str">
        <f t="shared" ref="K55:P55" si="68">IF(K42=0,IF(K54="","","*"&amp;TEXT(K54,"0.0x")),(K41+K42-K44)/K47)</f>
        <v>*8.5x</v>
      </c>
      <c r="L55" s="41" t="str">
        <f t="shared" si="68"/>
        <v>*8.5x</v>
      </c>
      <c r="M55" s="41" t="str">
        <f t="shared" si="68"/>
        <v>*8.5x</v>
      </c>
      <c r="N55" s="41" t="str">
        <f t="shared" si="68"/>
        <v>*8.5x</v>
      </c>
      <c r="O55" s="41" t="str">
        <f t="shared" si="68"/>
        <v>*8.5x</v>
      </c>
      <c r="P55" s="41" t="str">
        <f t="shared" si="68"/>
        <v>*8.5x</v>
      </c>
      <c r="Q55" s="41" t="str">
        <f t="shared" ref="Q55:V55" si="69">IF(Q42=0,IF(Q54="","","*"&amp;TEXT(Q54,"0.0x")),(Q41+Q42-Q44)/Q47)</f>
        <v>*8.5x</v>
      </c>
      <c r="R55" s="41" t="str">
        <f t="shared" si="69"/>
        <v>*8.5x</v>
      </c>
      <c r="S55" s="41" t="str">
        <f t="shared" si="69"/>
        <v>*8.5x</v>
      </c>
      <c r="T55" s="41" t="str">
        <f t="shared" si="69"/>
        <v>*8.5x</v>
      </c>
      <c r="U55" s="41" t="str">
        <f t="shared" si="69"/>
        <v>*8.5x</v>
      </c>
      <c r="V55" s="41" t="str">
        <f t="shared" si="69"/>
        <v>*8.5x</v>
      </c>
      <c r="W55" s="41" t="str">
        <f>IF(W42=0,IF(W54="","",CONCATENATE("* ",W54,"x")),(W41+W42-W44)/W47)</f>
        <v/>
      </c>
      <c r="X55" s="41" t="str">
        <f>IF(X42=0,IF(X54="","",CONCATENATE("* ",X54,"x")),(X41+X42-X44)/X47)</f>
        <v/>
      </c>
      <c r="Y55" s="41" t="str">
        <f>IF(Y42=0,IF(Y54="","",CONCATENATE("* ",Y54,"x")),(Y41+Y42-Y44)/Y47)</f>
        <v/>
      </c>
    </row>
    <row r="56" spans="1:25">
      <c r="V56" s="42"/>
    </row>
    <row r="57" spans="1:25" ht="80.25" customHeight="1">
      <c r="A57" s="43" t="s">
        <v>84</v>
      </c>
      <c r="B57" s="44" t="s">
        <v>289</v>
      </c>
      <c r="C57" s="44" t="s">
        <v>289</v>
      </c>
      <c r="D57" s="44" t="s">
        <v>289</v>
      </c>
      <c r="E57" s="44" t="s">
        <v>289</v>
      </c>
      <c r="F57" s="44" t="s">
        <v>289</v>
      </c>
      <c r="G57" s="44" t="s">
        <v>289</v>
      </c>
      <c r="H57" s="44" t="s">
        <v>289</v>
      </c>
      <c r="I57" s="44" t="s">
        <v>289</v>
      </c>
      <c r="J57" s="44" t="s">
        <v>289</v>
      </c>
      <c r="K57" s="44" t="s">
        <v>289</v>
      </c>
      <c r="L57" s="44" t="s">
        <v>423</v>
      </c>
      <c r="M57" s="44"/>
      <c r="N57" s="44"/>
      <c r="O57" s="44"/>
      <c r="P57" s="44" t="s">
        <v>238</v>
      </c>
      <c r="Q57" s="44" t="s">
        <v>145</v>
      </c>
      <c r="R57" s="44"/>
      <c r="S57" s="44"/>
      <c r="T57" s="44"/>
      <c r="U57" s="44"/>
      <c r="V57" s="44"/>
      <c r="W57" s="44"/>
      <c r="X57" s="44"/>
      <c r="Y57" s="44"/>
    </row>
    <row r="58" spans="1:25">
      <c r="A58" s="45"/>
      <c r="B58" s="42"/>
      <c r="C58" s="42"/>
      <c r="D58" s="42"/>
      <c r="E58" s="42"/>
      <c r="F58" s="42"/>
      <c r="G58" s="42"/>
      <c r="H58" s="42"/>
      <c r="I58" s="42"/>
      <c r="J58" s="42"/>
      <c r="K58" s="42"/>
      <c r="L58" s="42"/>
      <c r="M58" s="42"/>
      <c r="N58" s="42"/>
      <c r="O58" s="42"/>
      <c r="P58" s="42"/>
      <c r="Q58" s="42"/>
      <c r="R58" s="42"/>
    </row>
    <row r="59" spans="1:25">
      <c r="A59" s="45"/>
    </row>
  </sheetData>
  <pageMargins left="0.7" right="0.7" top="0.75" bottom="0.75" header="0.3" footer="0.3"/>
  <pageSetup orientation="portrait" r:id="rId1"/>
  <ignoredErrors>
    <ignoredError sqref="M47 R46:X50 L49:P49 M46 N47:P47 N46:P46 L46 L47 K46 K48:L48 K47 I46:J47" formulaRange="1"/>
  </ignoredErrors>
  <legacyDrawing r:id="rId2"/>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2:AA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9" width="10.6640625" style="14" customWidth="1"/>
    <col min="20" max="16384" width="9.109375" style="14"/>
  </cols>
  <sheetData>
    <row r="2" spans="1:27">
      <c r="A2" s="13" t="s">
        <v>44</v>
      </c>
      <c r="B2" s="14" t="s">
        <v>323</v>
      </c>
    </row>
    <row r="3" spans="1:27" s="16" customFormat="1">
      <c r="A3" s="15" t="s">
        <v>45</v>
      </c>
      <c r="B3" s="16" t="s">
        <v>324</v>
      </c>
    </row>
    <row r="4" spans="1:27">
      <c r="A4" s="13" t="s">
        <v>2</v>
      </c>
      <c r="B4" s="14" t="s">
        <v>4</v>
      </c>
    </row>
    <row r="5" spans="1:27">
      <c r="A5" s="13" t="s">
        <v>46</v>
      </c>
    </row>
    <row r="6" spans="1:27">
      <c r="A6" s="13" t="s">
        <v>47</v>
      </c>
      <c r="B6" s="14">
        <v>3</v>
      </c>
    </row>
    <row r="7" spans="1:27">
      <c r="A7" s="13" t="s">
        <v>48</v>
      </c>
      <c r="B7" s="14" t="s">
        <v>450</v>
      </c>
    </row>
    <row r="8" spans="1:27">
      <c r="A8" s="13" t="s">
        <v>347</v>
      </c>
      <c r="B8" s="14" t="s">
        <v>355</v>
      </c>
    </row>
    <row r="9" spans="1:27">
      <c r="A9" s="17"/>
    </row>
    <row r="10" spans="1:27">
      <c r="A10" s="17" t="s">
        <v>49</v>
      </c>
      <c r="B10" s="18">
        <v>44286</v>
      </c>
      <c r="C10" s="18">
        <v>44196</v>
      </c>
      <c r="D10" s="18">
        <v>44104</v>
      </c>
      <c r="E10" s="18">
        <v>44012</v>
      </c>
      <c r="F10" s="18">
        <v>43921</v>
      </c>
      <c r="G10" s="18">
        <v>43830</v>
      </c>
      <c r="H10" s="18">
        <v>43738</v>
      </c>
      <c r="I10" s="18">
        <v>43646</v>
      </c>
      <c r="J10" s="18">
        <v>43555</v>
      </c>
      <c r="K10" s="18">
        <v>43465</v>
      </c>
      <c r="L10" s="18">
        <v>43373</v>
      </c>
      <c r="M10" s="18">
        <f>EOMONTH(L10,-3)</f>
        <v>43281</v>
      </c>
      <c r="N10" s="18">
        <f t="shared" ref="N10:S10" si="0">EOMONTH(M10,-3)</f>
        <v>43190</v>
      </c>
      <c r="O10" s="18">
        <f t="shared" si="0"/>
        <v>43100</v>
      </c>
      <c r="P10" s="18">
        <f t="shared" si="0"/>
        <v>43008</v>
      </c>
      <c r="Q10" s="18">
        <f t="shared" si="0"/>
        <v>42916</v>
      </c>
      <c r="R10" s="18">
        <f t="shared" si="0"/>
        <v>42825</v>
      </c>
      <c r="S10" s="18">
        <f t="shared" si="0"/>
        <v>42735</v>
      </c>
    </row>
    <row r="11" spans="1:27">
      <c r="B11" s="33"/>
      <c r="C11" s="33"/>
      <c r="D11" s="33"/>
      <c r="E11" s="33"/>
      <c r="F11" s="33"/>
      <c r="G11" s="33"/>
      <c r="H11" s="33"/>
      <c r="J11" s="33"/>
    </row>
    <row r="12" spans="1:27">
      <c r="A12" s="19" t="s">
        <v>50</v>
      </c>
      <c r="B12" s="20">
        <v>199.22499999999999</v>
      </c>
      <c r="C12" s="20">
        <v>204</v>
      </c>
      <c r="D12" s="20">
        <v>194.107</v>
      </c>
      <c r="E12" s="20">
        <v>190.6</v>
      </c>
      <c r="F12" s="20">
        <v>181.72399999999999</v>
      </c>
      <c r="G12" s="20">
        <f>818.312-H12-I12-J12</f>
        <v>178.34100000000001</v>
      </c>
      <c r="H12" s="20">
        <v>186.86500000000001</v>
      </c>
      <c r="I12" s="20">
        <v>235.7</v>
      </c>
      <c r="J12" s="20">
        <v>217.40600000000001</v>
      </c>
      <c r="K12" s="20">
        <v>228.2</v>
      </c>
      <c r="L12" s="20">
        <v>251</v>
      </c>
      <c r="M12" s="20">
        <v>262</v>
      </c>
      <c r="N12" s="20">
        <v>253</v>
      </c>
      <c r="O12" s="20">
        <v>224</v>
      </c>
      <c r="P12" s="20">
        <v>195</v>
      </c>
      <c r="Q12" s="20">
        <v>221</v>
      </c>
      <c r="R12" s="20">
        <v>218</v>
      </c>
      <c r="S12" s="20">
        <v>206</v>
      </c>
      <c r="W12" s="24"/>
      <c r="X12" s="24"/>
      <c r="Y12" s="24"/>
      <c r="Z12" s="24"/>
    </row>
    <row r="13" spans="1:27" s="21" customFormat="1">
      <c r="A13" s="21" t="s">
        <v>51</v>
      </c>
      <c r="B13" s="21">
        <f t="shared" ref="B13:O13" si="1">+B12/F12-1</f>
        <v>9.6305386190046471E-2</v>
      </c>
      <c r="C13" s="21">
        <f t="shared" si="1"/>
        <v>0.1438760576648106</v>
      </c>
      <c r="D13" s="21">
        <f t="shared" si="1"/>
        <v>3.8755251117116529E-2</v>
      </c>
      <c r="E13" s="21">
        <f t="shared" si="1"/>
        <v>-0.19134492999575725</v>
      </c>
      <c r="F13" s="21">
        <f t="shared" si="1"/>
        <v>-0.16412610507529701</v>
      </c>
      <c r="G13" s="21">
        <f t="shared" si="1"/>
        <v>-0.21848816827344431</v>
      </c>
      <c r="H13" s="21">
        <f t="shared" si="1"/>
        <v>-0.2555179282868526</v>
      </c>
      <c r="I13" s="21">
        <f t="shared" si="1"/>
        <v>-0.10038167938931297</v>
      </c>
      <c r="J13" s="21">
        <f t="shared" si="1"/>
        <v>-0.14068774703557307</v>
      </c>
      <c r="K13" s="21">
        <f t="shared" si="1"/>
        <v>1.8750000000000044E-2</v>
      </c>
      <c r="L13" s="21">
        <f t="shared" si="1"/>
        <v>0.28717948717948727</v>
      </c>
      <c r="M13" s="21">
        <f t="shared" si="1"/>
        <v>0.18552036199095023</v>
      </c>
      <c r="N13" s="21">
        <f t="shared" si="1"/>
        <v>0.16055045871559637</v>
      </c>
      <c r="O13" s="21">
        <f t="shared" si="1"/>
        <v>8.737864077669899E-2</v>
      </c>
      <c r="T13" s="14"/>
      <c r="U13" s="14"/>
      <c r="V13" s="14"/>
      <c r="W13" s="24"/>
      <c r="X13" s="24"/>
      <c r="Y13" s="24"/>
      <c r="Z13" s="24"/>
      <c r="AA13" s="14"/>
    </row>
    <row r="14" spans="1:27"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t="s">
        <v>3</v>
      </c>
      <c r="P14" s="22"/>
      <c r="Q14" s="22"/>
      <c r="R14" s="22"/>
      <c r="S14" s="22"/>
    </row>
    <row r="15" spans="1:27">
      <c r="B15" s="33"/>
      <c r="C15" s="33"/>
      <c r="D15" s="33"/>
      <c r="E15" s="33"/>
      <c r="F15" s="33"/>
      <c r="G15" s="33"/>
      <c r="H15" s="33"/>
    </row>
    <row r="16" spans="1:27" s="17" customFormat="1">
      <c r="A16" s="25" t="s">
        <v>53</v>
      </c>
      <c r="B16" s="26">
        <v>24.3</v>
      </c>
      <c r="C16" s="26">
        <v>22.1</v>
      </c>
      <c r="D16" s="26">
        <v>27.9</v>
      </c>
      <c r="E16" s="26">
        <v>26.8</v>
      </c>
      <c r="F16" s="26">
        <v>21</v>
      </c>
      <c r="G16" s="26">
        <v>15</v>
      </c>
      <c r="H16" s="26">
        <v>23.4</v>
      </c>
      <c r="I16" s="26">
        <v>31.7</v>
      </c>
      <c r="J16" s="26">
        <v>29</v>
      </c>
      <c r="K16" s="26">
        <v>32.1</v>
      </c>
      <c r="L16" s="26">
        <v>33.1</v>
      </c>
      <c r="M16" s="26">
        <v>31</v>
      </c>
      <c r="N16" s="26">
        <f>59.1-M16</f>
        <v>28.1</v>
      </c>
      <c r="O16" s="26">
        <v>12.600000000000001</v>
      </c>
      <c r="P16" s="26">
        <v>10.199999999999998</v>
      </c>
      <c r="Q16" s="26">
        <v>19.600000000000001</v>
      </c>
      <c r="R16" s="26">
        <v>18.679999999999996</v>
      </c>
      <c r="S16" s="26">
        <v>15.299999999999997</v>
      </c>
      <c r="T16" s="24"/>
      <c r="U16" s="24"/>
      <c r="V16" s="24"/>
      <c r="W16" s="24"/>
      <c r="X16" s="24"/>
      <c r="Y16" s="24"/>
      <c r="Z16" s="24"/>
    </row>
    <row r="17" spans="1:27" s="21" customFormat="1">
      <c r="A17" s="21" t="s">
        <v>54</v>
      </c>
      <c r="B17" s="21">
        <f t="shared" ref="B17:C17" si="2">+B16/B12</f>
        <v>0.12197264399548251</v>
      </c>
      <c r="C17" s="21">
        <f t="shared" si="2"/>
        <v>0.10833333333333334</v>
      </c>
      <c r="D17" s="21">
        <f t="shared" ref="D17:E17" si="3">+D16/D12</f>
        <v>0.14373515638281978</v>
      </c>
      <c r="E17" s="21">
        <f t="shared" si="3"/>
        <v>0.14060860440713538</v>
      </c>
      <c r="F17" s="21">
        <f t="shared" ref="F17:L17" si="4">+F16/F12</f>
        <v>0.11555986000748389</v>
      </c>
      <c r="G17" s="21">
        <f t="shared" si="4"/>
        <v>8.4108533651824316E-2</v>
      </c>
      <c r="H17" s="21">
        <f t="shared" si="4"/>
        <v>0.12522409225911754</v>
      </c>
      <c r="I17" s="21">
        <f t="shared" si="4"/>
        <v>0.13449299957573185</v>
      </c>
      <c r="J17" s="21">
        <f t="shared" si="4"/>
        <v>0.13339098276956476</v>
      </c>
      <c r="K17" s="21">
        <f t="shared" si="4"/>
        <v>0.14066608238387382</v>
      </c>
      <c r="L17" s="21">
        <f t="shared" si="4"/>
        <v>0.13187250996015937</v>
      </c>
      <c r="M17" s="21">
        <f t="shared" ref="M17:S17" si="5">+M16/M12</f>
        <v>0.1183206106870229</v>
      </c>
      <c r="N17" s="21">
        <f t="shared" si="5"/>
        <v>0.11106719367588934</v>
      </c>
      <c r="O17" s="21">
        <f t="shared" si="5"/>
        <v>5.6250000000000008E-2</v>
      </c>
      <c r="P17" s="21">
        <f t="shared" si="5"/>
        <v>5.2307692307692298E-2</v>
      </c>
      <c r="Q17" s="21">
        <f t="shared" si="5"/>
        <v>8.8687782805429868E-2</v>
      </c>
      <c r="R17" s="21">
        <f t="shared" si="5"/>
        <v>8.5688073394495398E-2</v>
      </c>
      <c r="S17" s="21">
        <f t="shared" si="5"/>
        <v>7.4271844660194167E-2</v>
      </c>
      <c r="T17" s="24"/>
      <c r="U17" s="24"/>
      <c r="V17" s="24"/>
      <c r="W17" s="24"/>
      <c r="X17" s="24"/>
      <c r="Y17" s="24"/>
      <c r="Z17" s="24"/>
      <c r="AA17" s="17"/>
    </row>
    <row r="18" spans="1:27" s="24" customFormat="1"/>
    <row r="19" spans="1:27"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row>
    <row r="20" spans="1:27"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row>
    <row r="21" spans="1:27"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row>
    <row r="22" spans="1:27" s="17" customFormat="1">
      <c r="A22" s="17" t="s">
        <v>58</v>
      </c>
      <c r="B22" s="27">
        <f t="shared" ref="B22:C22" si="6">SUM(B16,B19:B21)</f>
        <v>24.3</v>
      </c>
      <c r="C22" s="27">
        <f t="shared" si="6"/>
        <v>22.1</v>
      </c>
      <c r="D22" s="27">
        <f t="shared" ref="D22:E22" si="7">SUM(D16,D19:D21)</f>
        <v>27.9</v>
      </c>
      <c r="E22" s="27">
        <f t="shared" si="7"/>
        <v>26.8</v>
      </c>
      <c r="F22" s="27">
        <f t="shared" ref="F22:L22" si="8">SUM(F16,F19:F21)</f>
        <v>21</v>
      </c>
      <c r="G22" s="27">
        <f t="shared" si="8"/>
        <v>15</v>
      </c>
      <c r="H22" s="27">
        <f t="shared" si="8"/>
        <v>23.4</v>
      </c>
      <c r="I22" s="27">
        <f t="shared" si="8"/>
        <v>31.7</v>
      </c>
      <c r="J22" s="27">
        <f t="shared" si="8"/>
        <v>29</v>
      </c>
      <c r="K22" s="27">
        <f t="shared" si="8"/>
        <v>32.1</v>
      </c>
      <c r="L22" s="27">
        <f t="shared" si="8"/>
        <v>33.1</v>
      </c>
      <c r="M22" s="27">
        <f t="shared" ref="M22:S22" si="9">SUM(M16,M19:M21)</f>
        <v>31</v>
      </c>
      <c r="N22" s="27">
        <f t="shared" si="9"/>
        <v>28.1</v>
      </c>
      <c r="O22" s="27">
        <f t="shared" si="9"/>
        <v>12.600000000000001</v>
      </c>
      <c r="P22" s="27">
        <f t="shared" si="9"/>
        <v>10.199999999999998</v>
      </c>
      <c r="Q22" s="27">
        <f t="shared" si="9"/>
        <v>19.600000000000001</v>
      </c>
      <c r="R22" s="27">
        <f t="shared" si="9"/>
        <v>18.679999999999996</v>
      </c>
      <c r="S22" s="27">
        <f t="shared" si="9"/>
        <v>15.299999999999997</v>
      </c>
    </row>
    <row r="23" spans="1:27" s="17" customFormat="1">
      <c r="B23" s="21"/>
      <c r="C23" s="21"/>
      <c r="D23" s="21"/>
      <c r="E23" s="21"/>
      <c r="F23" s="21"/>
      <c r="G23" s="21"/>
      <c r="H23" s="21"/>
      <c r="I23" s="21"/>
      <c r="J23" s="27"/>
      <c r="K23" s="21"/>
      <c r="L23" s="21"/>
      <c r="M23" s="27"/>
      <c r="N23" s="27"/>
      <c r="O23" s="27"/>
      <c r="P23" s="27"/>
      <c r="Q23" s="27"/>
      <c r="R23" s="27"/>
      <c r="S23" s="27"/>
    </row>
    <row r="24" spans="1:27" s="17" customFormat="1">
      <c r="A24" s="17" t="s">
        <v>59</v>
      </c>
      <c r="B24" s="27">
        <f t="shared" ref="B24:O24" si="10">SUM(B22:E22)</f>
        <v>101.10000000000001</v>
      </c>
      <c r="C24" s="27">
        <f t="shared" si="10"/>
        <v>97.8</v>
      </c>
      <c r="D24" s="27">
        <f t="shared" si="10"/>
        <v>90.7</v>
      </c>
      <c r="E24" s="27">
        <f t="shared" si="10"/>
        <v>86.199999999999989</v>
      </c>
      <c r="F24" s="27">
        <f t="shared" si="10"/>
        <v>91.1</v>
      </c>
      <c r="G24" s="27">
        <f t="shared" si="10"/>
        <v>99.1</v>
      </c>
      <c r="H24" s="27">
        <f t="shared" si="10"/>
        <v>116.19999999999999</v>
      </c>
      <c r="I24" s="27">
        <f t="shared" si="10"/>
        <v>125.9</v>
      </c>
      <c r="J24" s="27">
        <f t="shared" si="10"/>
        <v>125.2</v>
      </c>
      <c r="K24" s="27">
        <f t="shared" si="10"/>
        <v>124.30000000000001</v>
      </c>
      <c r="L24" s="27">
        <f t="shared" si="10"/>
        <v>104.79999999999998</v>
      </c>
      <c r="M24" s="27">
        <f t="shared" si="10"/>
        <v>81.900000000000006</v>
      </c>
      <c r="N24" s="27">
        <f t="shared" si="10"/>
        <v>70.5</v>
      </c>
      <c r="O24" s="27">
        <f t="shared" si="10"/>
        <v>61.08</v>
      </c>
      <c r="P24" s="27"/>
      <c r="Q24" s="27"/>
      <c r="R24" s="27"/>
      <c r="S24" s="27"/>
    </row>
    <row r="25" spans="1:27" s="24" customFormat="1">
      <c r="A25" s="19" t="s">
        <v>60</v>
      </c>
      <c r="B25" s="28">
        <f>99.8-B24</f>
        <v>-1.3000000000000114</v>
      </c>
      <c r="C25" s="28">
        <f>96.6-C24</f>
        <v>-1.2000000000000028</v>
      </c>
      <c r="D25" s="28">
        <f>90.8-D24</f>
        <v>9.9999999999994316E-2</v>
      </c>
      <c r="E25" s="28">
        <f>86.3-E24</f>
        <v>0.10000000000000853</v>
      </c>
      <c r="F25" s="28">
        <f>91.1-F24</f>
        <v>0</v>
      </c>
      <c r="G25" s="28">
        <f>99.1-G24</f>
        <v>0</v>
      </c>
      <c r="H25" s="28">
        <f>116.3-H24</f>
        <v>0.10000000000000853</v>
      </c>
      <c r="I25" s="28">
        <f>126.1-I24</f>
        <v>0.19999999999998863</v>
      </c>
      <c r="J25" s="28">
        <f>125.4-J24</f>
        <v>0.20000000000000284</v>
      </c>
      <c r="K25" s="28">
        <f>124.4-K24</f>
        <v>9.9999999999994316E-2</v>
      </c>
      <c r="L25" s="28">
        <f>117.9-L24</f>
        <v>13.100000000000023</v>
      </c>
      <c r="M25" s="28">
        <f>80.2-M24</f>
        <v>-1.7000000000000028</v>
      </c>
      <c r="N25" s="28">
        <f>74.3-N24</f>
        <v>3.7999999999999972</v>
      </c>
      <c r="O25" s="28">
        <f>70.18-O24</f>
        <v>9.1000000000000085</v>
      </c>
      <c r="P25" s="28"/>
      <c r="Q25" s="28"/>
      <c r="R25" s="28"/>
      <c r="S25" s="28"/>
    </row>
    <row r="26" spans="1:27" s="24" customFormat="1">
      <c r="A26" s="19" t="s">
        <v>61</v>
      </c>
      <c r="B26" s="29">
        <v>0</v>
      </c>
      <c r="C26" s="29">
        <v>0</v>
      </c>
      <c r="D26" s="29">
        <v>0</v>
      </c>
      <c r="E26" s="29">
        <v>0</v>
      </c>
      <c r="F26" s="29">
        <v>0</v>
      </c>
      <c r="G26" s="29">
        <v>0</v>
      </c>
      <c r="H26" s="29">
        <v>0</v>
      </c>
      <c r="I26" s="29">
        <v>0</v>
      </c>
      <c r="J26" s="29">
        <v>0</v>
      </c>
      <c r="K26" s="29">
        <v>0</v>
      </c>
      <c r="L26" s="29">
        <v>0</v>
      </c>
      <c r="M26" s="29">
        <v>0</v>
      </c>
      <c r="N26" s="29">
        <v>0</v>
      </c>
      <c r="O26" s="29">
        <v>0</v>
      </c>
      <c r="P26" s="29"/>
      <c r="Q26" s="30"/>
      <c r="R26" s="30"/>
      <c r="S26" s="30"/>
    </row>
    <row r="27" spans="1:27" s="32" customFormat="1">
      <c r="A27" s="17" t="s">
        <v>62</v>
      </c>
      <c r="B27" s="27">
        <f t="shared" ref="B27" si="11">SUM(B24:B26)</f>
        <v>99.8</v>
      </c>
      <c r="C27" s="27">
        <f t="shared" ref="C27:D27" si="12">SUM(C24:C26)</f>
        <v>96.6</v>
      </c>
      <c r="D27" s="27">
        <f t="shared" si="12"/>
        <v>90.8</v>
      </c>
      <c r="E27" s="27">
        <f t="shared" ref="E27:F27" si="13">SUM(E24:E26)</f>
        <v>86.3</v>
      </c>
      <c r="F27" s="27">
        <f t="shared" si="13"/>
        <v>91.1</v>
      </c>
      <c r="G27" s="27">
        <f t="shared" ref="G27:I27" si="14">SUM(G24:G26)</f>
        <v>99.1</v>
      </c>
      <c r="H27" s="27">
        <f t="shared" si="14"/>
        <v>116.3</v>
      </c>
      <c r="I27" s="27">
        <f t="shared" si="14"/>
        <v>126.1</v>
      </c>
      <c r="J27" s="27">
        <f t="shared" ref="J27:O27" si="15">SUM(J24:J26)</f>
        <v>125.4</v>
      </c>
      <c r="K27" s="27">
        <f t="shared" si="15"/>
        <v>124.4</v>
      </c>
      <c r="L27" s="27">
        <f t="shared" si="15"/>
        <v>117.9</v>
      </c>
      <c r="M27" s="27">
        <f t="shared" si="15"/>
        <v>80.2</v>
      </c>
      <c r="N27" s="27">
        <f t="shared" si="15"/>
        <v>74.3</v>
      </c>
      <c r="O27" s="27">
        <f t="shared" si="15"/>
        <v>70.180000000000007</v>
      </c>
      <c r="P27" s="27"/>
      <c r="Q27" s="31"/>
      <c r="R27" s="31"/>
      <c r="S27" s="31"/>
    </row>
    <row r="28" spans="1:27" s="24" customFormat="1"/>
    <row r="29" spans="1:27" s="17" customFormat="1">
      <c r="A29" s="17" t="s">
        <v>58</v>
      </c>
      <c r="B29" s="27">
        <f t="shared" ref="B29:C29" si="16">B22</f>
        <v>24.3</v>
      </c>
      <c r="C29" s="27">
        <f t="shared" si="16"/>
        <v>22.1</v>
      </c>
      <c r="D29" s="27">
        <f t="shared" ref="D29:E29" si="17">D22</f>
        <v>27.9</v>
      </c>
      <c r="E29" s="27">
        <f t="shared" si="17"/>
        <v>26.8</v>
      </c>
      <c r="F29" s="27">
        <f t="shared" ref="F29:O29" si="18">F22</f>
        <v>21</v>
      </c>
      <c r="G29" s="27">
        <f t="shared" si="18"/>
        <v>15</v>
      </c>
      <c r="H29" s="27">
        <f t="shared" si="18"/>
        <v>23.4</v>
      </c>
      <c r="I29" s="27">
        <f t="shared" si="18"/>
        <v>31.7</v>
      </c>
      <c r="J29" s="27">
        <f t="shared" si="18"/>
        <v>29</v>
      </c>
      <c r="K29" s="27">
        <f t="shared" si="18"/>
        <v>32.1</v>
      </c>
      <c r="L29" s="27">
        <f t="shared" si="18"/>
        <v>33.1</v>
      </c>
      <c r="M29" s="27">
        <f t="shared" si="18"/>
        <v>31</v>
      </c>
      <c r="N29" s="27">
        <f t="shared" si="18"/>
        <v>28.1</v>
      </c>
      <c r="O29" s="27">
        <f t="shared" si="18"/>
        <v>12.600000000000001</v>
      </c>
      <c r="P29" s="27"/>
      <c r="Q29" s="27"/>
      <c r="R29" s="27"/>
      <c r="S29" s="27"/>
    </row>
    <row r="30" spans="1:27" s="33" customFormat="1">
      <c r="A30" s="20" t="s">
        <v>63</v>
      </c>
      <c r="B30" s="20">
        <v>-8.5299999999999994</v>
      </c>
      <c r="C30" s="20">
        <f>-36.185-D30-E30-F30</f>
        <v>-8.8560000000000016</v>
      </c>
      <c r="D30" s="20">
        <f>-27.329-E30-F30</f>
        <v>-8.8260000000000005</v>
      </c>
      <c r="E30" s="20">
        <v>-9.0760000000000005</v>
      </c>
      <c r="F30" s="20">
        <v>-9.4269999999999996</v>
      </c>
      <c r="G30" s="20">
        <f>-42.282-H30-I30-J30</f>
        <v>-9.8989999999999956</v>
      </c>
      <c r="H30" s="20">
        <f>-32.383-I30-J30</f>
        <v>-10.481000000000003</v>
      </c>
      <c r="I30" s="20">
        <v>-10.936</v>
      </c>
      <c r="J30" s="20">
        <v>-10.965999999999999</v>
      </c>
      <c r="K30" s="20">
        <f>-6.347-L30-M30-N30</f>
        <v>-0.72500000000000053</v>
      </c>
      <c r="L30" s="20">
        <f>-5.622-M30-N30</f>
        <v>-2.8659999999999997</v>
      </c>
      <c r="M30" s="20">
        <v>-0.73699999999999999</v>
      </c>
      <c r="N30" s="20">
        <v>-2.0190000000000001</v>
      </c>
      <c r="O30" s="20"/>
      <c r="P30" s="20"/>
      <c r="Q30" s="20"/>
      <c r="R30" s="20"/>
      <c r="S30" s="20"/>
    </row>
    <row r="31" spans="1:27" s="33" customFormat="1">
      <c r="A31" s="20" t="s">
        <v>64</v>
      </c>
      <c r="B31" s="20">
        <v>-0.27200000000000002</v>
      </c>
      <c r="C31" s="20">
        <f>-0.842-D31-E31-F31</f>
        <v>-7.0999999999999952E-2</v>
      </c>
      <c r="D31" s="20">
        <f>-0.771-E31-F31</f>
        <v>-0.19500000000000006</v>
      </c>
      <c r="E31" s="20">
        <v>-6.0000000000000001E-3</v>
      </c>
      <c r="F31" s="20">
        <v>-0.56999999999999995</v>
      </c>
      <c r="G31" s="20">
        <f>-1.24-H31-I31-J31</f>
        <v>-0.62399999999999989</v>
      </c>
      <c r="H31" s="20">
        <f>-0.616-I31-J31</f>
        <v>-0.122</v>
      </c>
      <c r="I31" s="20">
        <v>-0.22500000000000001</v>
      </c>
      <c r="J31" s="20">
        <v>-0.26900000000000002</v>
      </c>
      <c r="K31" s="20">
        <f>-1.857-L31-M31-N31</f>
        <v>-1.3460000000000001</v>
      </c>
      <c r="L31" s="20">
        <f>-0.511-M31-N31</f>
        <v>-0.27199999999999996</v>
      </c>
      <c r="M31" s="20">
        <v>-0.158</v>
      </c>
      <c r="N31" s="20">
        <v>-8.1000000000000003E-2</v>
      </c>
      <c r="O31" s="20"/>
      <c r="P31" s="20"/>
      <c r="Q31" s="20"/>
      <c r="R31" s="20"/>
      <c r="S31" s="20"/>
    </row>
    <row r="32" spans="1:27" s="33" customFormat="1">
      <c r="A32" s="20" t="s">
        <v>65</v>
      </c>
      <c r="B32" s="20">
        <f>-7.169+0.008+0.002+0.235+2.629</f>
        <v>-4.2949999999999999</v>
      </c>
      <c r="C32" s="20">
        <f>0.394+21.53+2.614+6.714-8.465-D32-E32-F32</f>
        <v>-8.4779999999999998</v>
      </c>
      <c r="D32" s="20">
        <f>7.111+18.541-7.259+6.416+6.456-E32-F32</f>
        <v>-2.9699999999999971</v>
      </c>
      <c r="E32" s="20">
        <f>7.463+17.441+7.872+2.519-0.175</f>
        <v>35.119999999999997</v>
      </c>
      <c r="F32" s="20">
        <f>-11.475+4.097-4.607+1.559+9.541</f>
        <v>-0.88499999999999979</v>
      </c>
      <c r="G32" s="20">
        <f>47.74+22.747-16.236-9.118+12.72-H32-I32-J32</f>
        <v>29.596999999999991</v>
      </c>
      <c r="H32" s="20">
        <f>35.576+8.83-23.774-3.896+11.52-I32-J32</f>
        <v>33.830999999999996</v>
      </c>
      <c r="I32" s="20">
        <f>-3.922+13.941-11.606+2.009-0.355</f>
        <v>6.7000000000000171E-2</v>
      </c>
      <c r="J32" s="20">
        <f>-0.288+5.584-10.773-1.478+1.313</f>
        <v>-5.6420000000000003</v>
      </c>
      <c r="K32" s="20">
        <f>-14.584-9.189+5.069+12.153-17.551-L32-M32-N32</f>
        <v>6.3380000000000054</v>
      </c>
      <c r="L32" s="20">
        <f>-34.432-8.728+15.667-1.816-1.131-M32-N32</f>
        <v>-18.952000000000002</v>
      </c>
      <c r="M32" s="20">
        <f>-1.846-2.028+0.715+2.123+0.871</f>
        <v>-0.16500000000000004</v>
      </c>
      <c r="N32" s="20">
        <f>-17.287-0.19+7.273-1.954+0.835</f>
        <v>-11.323</v>
      </c>
      <c r="O32" s="20"/>
      <c r="P32" s="20"/>
      <c r="Q32" s="20"/>
      <c r="R32" s="20"/>
      <c r="S32" s="20"/>
    </row>
    <row r="33" spans="1:19" s="33" customFormat="1">
      <c r="A33" s="20" t="s">
        <v>66</v>
      </c>
      <c r="B33" s="20">
        <v>0</v>
      </c>
      <c r="C33" s="20">
        <v>0</v>
      </c>
      <c r="D33" s="20">
        <v>0</v>
      </c>
      <c r="E33" s="20">
        <v>0</v>
      </c>
      <c r="F33" s="20">
        <v>0</v>
      </c>
      <c r="G33" s="20">
        <v>0</v>
      </c>
      <c r="H33" s="20">
        <v>0</v>
      </c>
      <c r="I33" s="20">
        <v>0</v>
      </c>
      <c r="J33" s="20">
        <v>0</v>
      </c>
      <c r="K33" s="20">
        <v>0</v>
      </c>
      <c r="L33" s="20">
        <v>0</v>
      </c>
      <c r="M33" s="20">
        <v>0</v>
      </c>
      <c r="N33" s="20">
        <v>0</v>
      </c>
      <c r="O33" s="20"/>
      <c r="P33" s="20"/>
      <c r="Q33" s="20"/>
      <c r="R33" s="20"/>
      <c r="S33" s="20"/>
    </row>
    <row r="34" spans="1:19" s="33" customFormat="1">
      <c r="A34" s="20" t="s">
        <v>57</v>
      </c>
      <c r="B34" s="29">
        <v>0</v>
      </c>
      <c r="C34" s="29">
        <v>0</v>
      </c>
      <c r="D34" s="29">
        <v>0</v>
      </c>
      <c r="E34" s="29">
        <v>0</v>
      </c>
      <c r="F34" s="29">
        <v>0</v>
      </c>
      <c r="G34" s="29">
        <v>0</v>
      </c>
      <c r="H34" s="29">
        <v>0</v>
      </c>
      <c r="I34" s="29">
        <v>0</v>
      </c>
      <c r="J34" s="29">
        <v>0</v>
      </c>
      <c r="K34" s="29">
        <v>0</v>
      </c>
      <c r="L34" s="29">
        <v>0</v>
      </c>
      <c r="M34" s="29">
        <v>0</v>
      </c>
      <c r="N34" s="29">
        <v>0</v>
      </c>
      <c r="O34" s="29"/>
      <c r="P34" s="29"/>
      <c r="Q34" s="29"/>
      <c r="R34" s="29"/>
      <c r="S34" s="29"/>
    </row>
    <row r="35" spans="1:19" s="27" customFormat="1">
      <c r="A35" s="27" t="s">
        <v>67</v>
      </c>
      <c r="B35" s="27">
        <v>10.965999999999999</v>
      </c>
      <c r="C35" s="27">
        <f>58.28-D35-E35-F35</f>
        <v>3.24</v>
      </c>
      <c r="D35" s="27">
        <f>55.04-E35-F35</f>
        <v>13.944000000000001</v>
      </c>
      <c r="E35" s="27">
        <v>50.494999999999997</v>
      </c>
      <c r="F35" s="27">
        <v>-9.3989999999999991</v>
      </c>
      <c r="G35" s="27">
        <f>53.826-H35-I35-J35</f>
        <v>10.130999999999997</v>
      </c>
      <c r="H35" s="27">
        <f>43.695-I35-J35</f>
        <v>40.806000000000004</v>
      </c>
      <c r="I35" s="27">
        <v>8.9740000000000002</v>
      </c>
      <c r="J35" s="27">
        <v>-6.085</v>
      </c>
      <c r="K35" s="27">
        <f>-63.038-L35-M35-N35</f>
        <v>-32.203999999999994</v>
      </c>
      <c r="L35" s="27">
        <f>-30.834-M35-N35</f>
        <v>-17.28</v>
      </c>
      <c r="M35" s="27">
        <f>-1.42</f>
        <v>-1.42</v>
      </c>
      <c r="N35" s="27">
        <v>-12.134</v>
      </c>
    </row>
    <row r="36" spans="1:19" s="33" customFormat="1">
      <c r="A36" s="20" t="s">
        <v>68</v>
      </c>
      <c r="B36" s="29">
        <v>-7.1509999999999998</v>
      </c>
      <c r="C36" s="29">
        <f>-17.401-D36-E36-F36</f>
        <v>-5.3129999999999997</v>
      </c>
      <c r="D36" s="29">
        <f>-12.088-E36-F36</f>
        <v>-3.6509999999999989</v>
      </c>
      <c r="E36" s="29">
        <v>-3.0670000000000002</v>
      </c>
      <c r="F36" s="29">
        <v>-5.37</v>
      </c>
      <c r="G36" s="29">
        <f>-21.589-H36-I36-J36</f>
        <v>-8.1229999999999976</v>
      </c>
      <c r="H36" s="29">
        <f>-13.466-I36-J36</f>
        <v>-4.9690000000000003</v>
      </c>
      <c r="I36" s="29">
        <v>-4.0469999999999997</v>
      </c>
      <c r="J36" s="29">
        <v>-4.45</v>
      </c>
      <c r="K36" s="29">
        <f>-11.681-L36-M36-N36</f>
        <v>-0.42699999999999916</v>
      </c>
      <c r="L36" s="29">
        <f>-11.254-M36-N36</f>
        <v>-3.8689999999999998</v>
      </c>
      <c r="M36" s="29">
        <v>-3.8690000000000002</v>
      </c>
      <c r="N36" s="29">
        <v>-3.516</v>
      </c>
      <c r="O36" s="29"/>
      <c r="P36" s="29"/>
      <c r="Q36" s="29"/>
      <c r="R36" s="29"/>
      <c r="S36" s="29"/>
    </row>
    <row r="37" spans="1:19" s="27" customFormat="1">
      <c r="A37" s="27" t="s">
        <v>69</v>
      </c>
      <c r="B37" s="27">
        <f t="shared" ref="B37:N37" si="19">B35+B36</f>
        <v>3.8149999999999995</v>
      </c>
      <c r="C37" s="27">
        <f t="shared" si="19"/>
        <v>-2.0729999999999995</v>
      </c>
      <c r="D37" s="27">
        <f t="shared" si="19"/>
        <v>10.293000000000003</v>
      </c>
      <c r="E37" s="27">
        <f t="shared" si="19"/>
        <v>47.427999999999997</v>
      </c>
      <c r="F37" s="27">
        <f t="shared" si="19"/>
        <v>-14.768999999999998</v>
      </c>
      <c r="G37" s="27">
        <f t="shared" si="19"/>
        <v>2.0079999999999991</v>
      </c>
      <c r="H37" s="27">
        <f t="shared" si="19"/>
        <v>35.837000000000003</v>
      </c>
      <c r="I37" s="27">
        <f t="shared" si="19"/>
        <v>4.9270000000000005</v>
      </c>
      <c r="J37" s="27">
        <f t="shared" si="19"/>
        <v>-10.535</v>
      </c>
      <c r="K37" s="27">
        <f t="shared" si="19"/>
        <v>-32.630999999999993</v>
      </c>
      <c r="L37" s="27">
        <f t="shared" si="19"/>
        <v>-21.149000000000001</v>
      </c>
      <c r="M37" s="27">
        <f t="shared" si="19"/>
        <v>-5.2889999999999997</v>
      </c>
      <c r="N37" s="27">
        <f t="shared" si="19"/>
        <v>-15.65</v>
      </c>
    </row>
    <row r="39" spans="1:19" s="35" customFormat="1">
      <c r="A39" s="34" t="s">
        <v>70</v>
      </c>
      <c r="B39" s="20">
        <v>18</v>
      </c>
      <c r="C39" s="20">
        <v>19.600000000000001</v>
      </c>
      <c r="D39" s="20">
        <v>13.9</v>
      </c>
      <c r="E39" s="20">
        <v>20.6</v>
      </c>
      <c r="F39" s="20">
        <v>87</v>
      </c>
      <c r="G39" s="20">
        <v>53</v>
      </c>
      <c r="H39" s="20">
        <v>50</v>
      </c>
      <c r="I39" s="20">
        <v>76.7</v>
      </c>
      <c r="J39" s="20">
        <v>81.8</v>
      </c>
      <c r="K39" s="20">
        <v>69.400000000000006</v>
      </c>
      <c r="L39" s="20">
        <v>26</v>
      </c>
      <c r="M39" s="20"/>
      <c r="N39" s="20"/>
      <c r="O39" s="20"/>
      <c r="P39" s="20"/>
      <c r="Q39" s="20"/>
      <c r="R39" s="20"/>
      <c r="S39" s="20"/>
    </row>
    <row r="40" spans="1:19" s="35" customFormat="1">
      <c r="A40" s="34" t="s">
        <v>71</v>
      </c>
      <c r="B40" s="20">
        <f>391+12.4</f>
        <v>403.4</v>
      </c>
      <c r="C40" s="20">
        <f>392+10.9</f>
        <v>402.9</v>
      </c>
      <c r="D40" s="20">
        <f>393+20.8</f>
        <v>413.8</v>
      </c>
      <c r="E40" s="20">
        <f>394+22.8</f>
        <v>416.8</v>
      </c>
      <c r="F40" s="20">
        <f>395+22.7</f>
        <v>417.7</v>
      </c>
      <c r="G40" s="20">
        <f>396+18.8</f>
        <v>414.8</v>
      </c>
      <c r="H40" s="20">
        <f>397+17.2</f>
        <v>414.2</v>
      </c>
      <c r="I40" s="20">
        <f>398+22.5</f>
        <v>420.5</v>
      </c>
      <c r="J40" s="20">
        <f>399+22.4</f>
        <v>421.4</v>
      </c>
      <c r="K40" s="20">
        <f>400+23</f>
        <v>423</v>
      </c>
      <c r="L40" s="20">
        <f>400+21+11</f>
        <v>432</v>
      </c>
      <c r="M40" s="20"/>
      <c r="N40" s="20"/>
      <c r="O40" s="20"/>
      <c r="P40" s="20"/>
      <c r="Q40" s="20"/>
      <c r="R40" s="20"/>
      <c r="S40" s="20"/>
    </row>
    <row r="41" spans="1:19" s="35" customFormat="1">
      <c r="A41" s="34" t="s">
        <v>72</v>
      </c>
      <c r="B41" s="20">
        <f t="shared" ref="B41:K41" si="20">B39+B40+100</f>
        <v>521.4</v>
      </c>
      <c r="C41" s="20">
        <f t="shared" si="20"/>
        <v>522.5</v>
      </c>
      <c r="D41" s="20">
        <f t="shared" si="20"/>
        <v>527.70000000000005</v>
      </c>
      <c r="E41" s="20">
        <f t="shared" si="20"/>
        <v>537.40000000000009</v>
      </c>
      <c r="F41" s="20">
        <f t="shared" si="20"/>
        <v>604.70000000000005</v>
      </c>
      <c r="G41" s="20">
        <f t="shared" si="20"/>
        <v>567.79999999999995</v>
      </c>
      <c r="H41" s="20">
        <f t="shared" si="20"/>
        <v>564.20000000000005</v>
      </c>
      <c r="I41" s="20">
        <f t="shared" si="20"/>
        <v>597.20000000000005</v>
      </c>
      <c r="J41" s="20">
        <f t="shared" si="20"/>
        <v>603.20000000000005</v>
      </c>
      <c r="K41" s="20">
        <f t="shared" si="20"/>
        <v>592.4</v>
      </c>
      <c r="L41" s="20">
        <f>L39+L40+95</f>
        <v>553</v>
      </c>
      <c r="M41" s="20"/>
      <c r="N41" s="20"/>
      <c r="O41" s="20"/>
      <c r="P41" s="20"/>
      <c r="Q41" s="20"/>
      <c r="R41" s="20"/>
      <c r="S41" s="20"/>
    </row>
    <row r="42" spans="1:19" s="35" customFormat="1">
      <c r="A42" s="34" t="s">
        <v>73</v>
      </c>
      <c r="B42" s="36">
        <v>277</v>
      </c>
      <c r="C42" s="36">
        <v>277</v>
      </c>
      <c r="D42" s="36">
        <v>277</v>
      </c>
      <c r="E42" s="36">
        <v>277</v>
      </c>
      <c r="F42" s="36">
        <v>277</v>
      </c>
      <c r="G42" s="36">
        <v>277</v>
      </c>
      <c r="H42" s="36">
        <v>277</v>
      </c>
      <c r="I42" s="36">
        <v>277</v>
      </c>
      <c r="J42" s="36">
        <v>277</v>
      </c>
      <c r="K42" s="36">
        <v>277</v>
      </c>
      <c r="L42" s="36">
        <v>277</v>
      </c>
      <c r="M42" s="36"/>
      <c r="N42" s="36"/>
      <c r="O42" s="36"/>
      <c r="P42" s="36"/>
      <c r="Q42" s="36"/>
      <c r="R42" s="36"/>
      <c r="S42" s="36"/>
    </row>
    <row r="43" spans="1:19">
      <c r="B43" s="35"/>
      <c r="C43" s="35"/>
      <c r="D43" s="35"/>
      <c r="E43" s="35"/>
      <c r="F43" s="35"/>
      <c r="G43" s="35"/>
      <c r="H43" s="35"/>
      <c r="I43" s="35"/>
      <c r="J43" s="35"/>
      <c r="K43" s="35"/>
      <c r="L43" s="35"/>
      <c r="M43" s="35"/>
      <c r="N43" s="35"/>
    </row>
    <row r="44" spans="1:19">
      <c r="A44" s="19" t="s">
        <v>74</v>
      </c>
      <c r="B44" s="28">
        <v>13.5</v>
      </c>
      <c r="C44" s="28">
        <v>16.100000000000001</v>
      </c>
      <c r="D44" s="28">
        <v>18.100000000000001</v>
      </c>
      <c r="E44" s="28">
        <v>18.8</v>
      </c>
      <c r="F44" s="28">
        <v>40.6</v>
      </c>
      <c r="G44" s="28">
        <v>20.7</v>
      </c>
      <c r="H44" s="28">
        <v>14.196</v>
      </c>
      <c r="I44" s="28">
        <v>12.7</v>
      </c>
      <c r="J44" s="28">
        <v>13.1</v>
      </c>
      <c r="K44" s="28">
        <v>13.6</v>
      </c>
      <c r="L44" s="28">
        <v>0</v>
      </c>
      <c r="M44" s="28"/>
      <c r="N44" s="28"/>
      <c r="O44" s="28"/>
      <c r="P44" s="28"/>
      <c r="Q44" s="57"/>
      <c r="R44" s="57"/>
      <c r="S44" s="57"/>
    </row>
    <row r="46" spans="1:19">
      <c r="A46" s="14" t="s">
        <v>75</v>
      </c>
      <c r="B46" s="58">
        <f t="shared" ref="B46:K46" si="21">SUM(B12:E12)</f>
        <v>787.93200000000002</v>
      </c>
      <c r="C46" s="58">
        <f t="shared" si="21"/>
        <v>770.43100000000004</v>
      </c>
      <c r="D46" s="58">
        <f t="shared" si="21"/>
        <v>744.77200000000005</v>
      </c>
      <c r="E46" s="58">
        <f t="shared" si="21"/>
        <v>737.53</v>
      </c>
      <c r="F46" s="58">
        <f t="shared" si="21"/>
        <v>782.63000000000011</v>
      </c>
      <c r="G46" s="58">
        <f t="shared" si="21"/>
        <v>818.3119999999999</v>
      </c>
      <c r="H46" s="58">
        <f t="shared" si="21"/>
        <v>868.17100000000005</v>
      </c>
      <c r="I46" s="58">
        <f t="shared" si="21"/>
        <v>932.30600000000004</v>
      </c>
      <c r="J46" s="58">
        <f t="shared" si="21"/>
        <v>958.60599999999999</v>
      </c>
      <c r="K46" s="58">
        <f t="shared" si="21"/>
        <v>994.2</v>
      </c>
      <c r="L46" s="51">
        <v>999</v>
      </c>
      <c r="M46" s="33"/>
      <c r="N46" s="33"/>
      <c r="O46" s="33"/>
      <c r="P46" s="33"/>
    </row>
    <row r="47" spans="1:19">
      <c r="A47" s="14" t="s">
        <v>76</v>
      </c>
      <c r="B47" s="58">
        <f t="shared" ref="B47:C47" si="22">B27</f>
        <v>99.8</v>
      </c>
      <c r="C47" s="58">
        <f t="shared" si="22"/>
        <v>96.6</v>
      </c>
      <c r="D47" s="58">
        <f t="shared" ref="D47:E47" si="23">D27</f>
        <v>90.8</v>
      </c>
      <c r="E47" s="58">
        <f t="shared" si="23"/>
        <v>86.3</v>
      </c>
      <c r="F47" s="58">
        <f t="shared" ref="F47:L47" si="24">F27</f>
        <v>91.1</v>
      </c>
      <c r="G47" s="58">
        <f t="shared" si="24"/>
        <v>99.1</v>
      </c>
      <c r="H47" s="58">
        <f t="shared" si="24"/>
        <v>116.3</v>
      </c>
      <c r="I47" s="58">
        <f t="shared" si="24"/>
        <v>126.1</v>
      </c>
      <c r="J47" s="58">
        <f t="shared" si="24"/>
        <v>125.4</v>
      </c>
      <c r="K47" s="58">
        <f t="shared" si="24"/>
        <v>124.4</v>
      </c>
      <c r="L47" s="58">
        <f t="shared" si="24"/>
        <v>117.9</v>
      </c>
      <c r="M47" s="33"/>
      <c r="N47" s="33"/>
      <c r="O47" s="33"/>
      <c r="P47" s="33"/>
    </row>
    <row r="48" spans="1:19">
      <c r="A48" s="14" t="s">
        <v>77</v>
      </c>
      <c r="B48" s="58">
        <f t="shared" ref="B48:J48" si="25">C48+B37-F37</f>
        <v>113.19332485156909</v>
      </c>
      <c r="C48" s="58">
        <f t="shared" si="25"/>
        <v>94.609324851569099</v>
      </c>
      <c r="D48" s="58">
        <f t="shared" si="25"/>
        <v>98.690324851569088</v>
      </c>
      <c r="E48" s="58">
        <f t="shared" si="25"/>
        <v>124.2343248515691</v>
      </c>
      <c r="F48" s="58">
        <f t="shared" si="25"/>
        <v>81.733324851569108</v>
      </c>
      <c r="G48" s="58">
        <f t="shared" si="25"/>
        <v>85.967324851569117</v>
      </c>
      <c r="H48" s="58">
        <f t="shared" si="25"/>
        <v>51.328324851569135</v>
      </c>
      <c r="I48" s="58">
        <f t="shared" si="25"/>
        <v>-5.6576751484308669</v>
      </c>
      <c r="J48" s="58">
        <f t="shared" si="25"/>
        <v>-15.873675148430868</v>
      </c>
      <c r="K48" s="58">
        <f>K47*L48/L47</f>
        <v>-20.988675148430868</v>
      </c>
      <c r="L48" s="51">
        <v>-19.891999999999996</v>
      </c>
      <c r="M48" s="33"/>
      <c r="N48" s="33"/>
      <c r="O48" s="33"/>
      <c r="P48" s="33"/>
    </row>
    <row r="50" spans="1:19" s="37" customFormat="1">
      <c r="A50" s="37" t="s">
        <v>78</v>
      </c>
      <c r="B50" s="37">
        <f t="shared" ref="B50:C50" si="26">+SUM(B39:B40)/B47</f>
        <v>4.2224448897795588</v>
      </c>
      <c r="C50" s="37">
        <f t="shared" si="26"/>
        <v>4.3737060041407867</v>
      </c>
      <c r="D50" s="37">
        <f t="shared" ref="D50:E50" si="27">+SUM(D39:D40)/D47</f>
        <v>4.7103524229074889</v>
      </c>
      <c r="E50" s="37">
        <f t="shared" si="27"/>
        <v>5.0683661645422946</v>
      </c>
      <c r="F50" s="37">
        <f t="shared" ref="F50:L50" si="28">+SUM(F39:F40)/F47</f>
        <v>5.5400658616904499</v>
      </c>
      <c r="G50" s="37">
        <f t="shared" si="28"/>
        <v>4.7204843592330983</v>
      </c>
      <c r="H50" s="37">
        <f t="shared" si="28"/>
        <v>3.9914015477214102</v>
      </c>
      <c r="I50" s="37">
        <f t="shared" si="28"/>
        <v>3.9429024583663761</v>
      </c>
      <c r="J50" s="37">
        <f t="shared" si="28"/>
        <v>4.012759170653907</v>
      </c>
      <c r="K50" s="37">
        <f t="shared" si="28"/>
        <v>3.958199356913183</v>
      </c>
      <c r="L50" s="37">
        <f t="shared" si="28"/>
        <v>3.8846480067854112</v>
      </c>
    </row>
    <row r="51" spans="1:19" s="37" customFormat="1">
      <c r="A51" s="37" t="s">
        <v>79</v>
      </c>
      <c r="B51" s="37">
        <f t="shared" ref="B51:C51" si="29">+B41/B47</f>
        <v>5.2244488977955914</v>
      </c>
      <c r="C51" s="37">
        <f t="shared" si="29"/>
        <v>5.4089026915113871</v>
      </c>
      <c r="D51" s="37">
        <f t="shared" ref="D51:E51" si="30">+D41/D47</f>
        <v>5.8116740088105736</v>
      </c>
      <c r="E51" s="37">
        <f t="shared" si="30"/>
        <v>6.2271147161066063</v>
      </c>
      <c r="F51" s="37">
        <f t="shared" ref="F51:L51" si="31">+F41/F47</f>
        <v>6.637760702524699</v>
      </c>
      <c r="G51" s="37">
        <f t="shared" si="31"/>
        <v>5.7295660948536833</v>
      </c>
      <c r="H51" s="37">
        <f t="shared" si="31"/>
        <v>4.8512467755803961</v>
      </c>
      <c r="I51" s="37">
        <f t="shared" si="31"/>
        <v>4.7359238699444894</v>
      </c>
      <c r="J51" s="37">
        <f t="shared" si="31"/>
        <v>4.8102073365231259</v>
      </c>
      <c r="K51" s="37">
        <f t="shared" si="31"/>
        <v>4.7620578778135041</v>
      </c>
      <c r="L51" s="37">
        <f t="shared" si="31"/>
        <v>4.6904156064461402</v>
      </c>
    </row>
    <row r="52" spans="1:19" s="37" customFormat="1">
      <c r="A52" s="37" t="s">
        <v>80</v>
      </c>
      <c r="B52" s="37">
        <f t="shared" ref="B52:C52" si="32">+(B41-B44)/B47</f>
        <v>5.0891783567134263</v>
      </c>
      <c r="C52" s="37">
        <f t="shared" si="32"/>
        <v>5.2422360248447202</v>
      </c>
      <c r="D52" s="37">
        <f t="shared" ref="D52:E52" si="33">+(D41-D44)/D47</f>
        <v>5.6123348017621151</v>
      </c>
      <c r="E52" s="37">
        <f t="shared" si="33"/>
        <v>6.009269988412516</v>
      </c>
      <c r="F52" s="37">
        <f t="shared" ref="F52:L52" si="34">+(F41-F44)/F47</f>
        <v>6.1920965971459943</v>
      </c>
      <c r="G52" s="37">
        <f t="shared" si="34"/>
        <v>5.520686175580221</v>
      </c>
      <c r="H52" s="37">
        <f t="shared" si="34"/>
        <v>4.7291831470335346</v>
      </c>
      <c r="I52" s="37">
        <f t="shared" si="34"/>
        <v>4.6352101506740686</v>
      </c>
      <c r="J52" s="37">
        <f t="shared" si="34"/>
        <v>4.705741626794258</v>
      </c>
      <c r="K52" s="37">
        <f t="shared" si="34"/>
        <v>4.6527331189710601</v>
      </c>
      <c r="L52" s="37">
        <f t="shared" si="34"/>
        <v>4.6904156064461402</v>
      </c>
    </row>
    <row r="53" spans="1:19" s="38" customFormat="1">
      <c r="A53" s="38" t="s">
        <v>81</v>
      </c>
      <c r="B53" s="38">
        <f t="shared" ref="B53:C53" si="35">+B48/B41</f>
        <v>0.21709498437201591</v>
      </c>
      <c r="C53" s="38">
        <f t="shared" si="35"/>
        <v>0.18107047818482125</v>
      </c>
      <c r="D53" s="38">
        <f t="shared" ref="D53:E53" si="36">+D48/D41</f>
        <v>0.18701975526164313</v>
      </c>
      <c r="E53" s="38">
        <f t="shared" si="36"/>
        <v>0.23117663723775414</v>
      </c>
      <c r="F53" s="38">
        <f t="shared" ref="F53:L53" si="37">+F48/F41</f>
        <v>0.13516342790072614</v>
      </c>
      <c r="G53" s="38">
        <f t="shared" si="37"/>
        <v>0.15140423538494033</v>
      </c>
      <c r="H53" s="38">
        <f t="shared" si="37"/>
        <v>9.0975407393777269E-2</v>
      </c>
      <c r="I53" s="38">
        <f t="shared" si="37"/>
        <v>-9.4736690362204733E-3</v>
      </c>
      <c r="J53" s="38">
        <f t="shared" si="37"/>
        <v>-2.6315774450316423E-2</v>
      </c>
      <c r="K53" s="38">
        <f t="shared" si="37"/>
        <v>-3.5429904031787425E-2</v>
      </c>
      <c r="L53" s="38">
        <f t="shared" si="37"/>
        <v>-3.597106690777576E-2</v>
      </c>
    </row>
    <row r="54" spans="1:19" s="38" customFormat="1">
      <c r="A54" s="39" t="s">
        <v>82</v>
      </c>
      <c r="B54" s="40"/>
      <c r="C54" s="40"/>
      <c r="D54" s="40"/>
      <c r="E54" s="40"/>
      <c r="F54" s="40"/>
      <c r="G54" s="40"/>
      <c r="H54" s="40"/>
      <c r="I54" s="40"/>
      <c r="J54" s="40"/>
      <c r="K54" s="40"/>
      <c r="L54" s="40"/>
      <c r="M54" s="40"/>
      <c r="N54" s="40"/>
      <c r="O54" s="40"/>
      <c r="P54" s="40"/>
      <c r="Q54" s="39"/>
      <c r="R54" s="39"/>
      <c r="S54" s="39"/>
    </row>
    <row r="55" spans="1:19" s="38" customFormat="1">
      <c r="A55" s="38" t="s">
        <v>83</v>
      </c>
      <c r="B55" s="41">
        <f t="shared" ref="B55:C55" si="38">IF(B42=0,IF(B54="","","*"&amp;TEXT(B54,"0.0x")),(B41+B42-B44)/B47)</f>
        <v>7.8647294589178358</v>
      </c>
      <c r="C55" s="41">
        <f t="shared" si="38"/>
        <v>8.1097308488612843</v>
      </c>
      <c r="D55" s="41">
        <f t="shared" ref="D55:E55" si="39">IF(D42=0,IF(D54="","","*"&amp;TEXT(D54,"0.0x")),(D41+D42-D44)/D47)</f>
        <v>8.6629955947136565</v>
      </c>
      <c r="E55" s="41">
        <f t="shared" si="39"/>
        <v>9.219003476245657</v>
      </c>
      <c r="F55" s="41">
        <f t="shared" ref="F55:L55" si="40">IF(F42=0,IF(F54="","","*"&amp;TEXT(F54,"0.0x")),(F41+F42-F44)/F47)</f>
        <v>9.2327113062568618</v>
      </c>
      <c r="G55" s="41">
        <f t="shared" si="40"/>
        <v>8.3158425832492426</v>
      </c>
      <c r="H55" s="41">
        <f t="shared" si="40"/>
        <v>7.1109544282029242</v>
      </c>
      <c r="I55" s="41">
        <f t="shared" si="40"/>
        <v>6.8318794607454407</v>
      </c>
      <c r="J55" s="41">
        <f t="shared" si="40"/>
        <v>6.9146730462519939</v>
      </c>
      <c r="K55" s="41">
        <f t="shared" si="40"/>
        <v>6.8794212218649511</v>
      </c>
      <c r="L55" s="41">
        <f t="shared" si="40"/>
        <v>7.0398642917726884</v>
      </c>
      <c r="M55" s="41"/>
      <c r="N55" s="41"/>
      <c r="O55" s="41"/>
      <c r="P55" s="41"/>
      <c r="Q55" s="41" t="str">
        <f>IF(Q42=0,IF(Q54="","",CONCATENATE("* ",Q54,"x")),(Q41+Q42-Q44)/Q47)</f>
        <v/>
      </c>
      <c r="R55" s="41" t="str">
        <f>IF(R42=0,IF(R54="","",CONCATENATE("* ",R54,"x")),(R41+R42-R44)/R47)</f>
        <v/>
      </c>
      <c r="S55" s="41" t="str">
        <f>IF(S42=0,IF(S54="","",CONCATENATE("* ",S54,"x")),(S41+S42-S44)/S47)</f>
        <v/>
      </c>
    </row>
    <row r="56" spans="1:19">
      <c r="P56" s="42"/>
    </row>
    <row r="57" spans="1:19" ht="80.25" customHeight="1">
      <c r="A57" s="43" t="s">
        <v>84</v>
      </c>
      <c r="B57" s="44" t="s">
        <v>289</v>
      </c>
      <c r="C57" s="44" t="s">
        <v>289</v>
      </c>
      <c r="D57" s="44" t="s">
        <v>289</v>
      </c>
      <c r="E57" s="44" t="s">
        <v>289</v>
      </c>
      <c r="F57" s="44" t="s">
        <v>289</v>
      </c>
      <c r="G57" s="44" t="s">
        <v>289</v>
      </c>
      <c r="H57" s="44" t="s">
        <v>289</v>
      </c>
      <c r="I57" s="44" t="s">
        <v>289</v>
      </c>
      <c r="J57" s="44" t="s">
        <v>289</v>
      </c>
      <c r="K57" s="44" t="s">
        <v>90</v>
      </c>
      <c r="L57" s="44" t="s">
        <v>325</v>
      </c>
      <c r="M57" s="44"/>
      <c r="N57" s="44"/>
      <c r="O57" s="44"/>
      <c r="P57" s="44"/>
      <c r="Q57" s="44"/>
      <c r="R57" s="44"/>
      <c r="S57" s="44"/>
    </row>
    <row r="58" spans="1:19">
      <c r="A58" s="45"/>
      <c r="B58" s="42"/>
      <c r="C58" s="42"/>
      <c r="D58" s="42"/>
      <c r="E58" s="42"/>
      <c r="F58" s="42"/>
      <c r="G58" s="42"/>
      <c r="H58" s="42"/>
      <c r="I58" s="42"/>
      <c r="J58" s="42"/>
      <c r="K58" s="42"/>
      <c r="L58" s="42"/>
    </row>
    <row r="59" spans="1:19">
      <c r="A59" s="45"/>
    </row>
  </sheetData>
  <pageMargins left="0.7" right="0.7" top="0.75" bottom="0.75" header="0.3" footer="0.3"/>
  <pageSetup orientation="portrait" r:id="rId1"/>
  <ignoredErrors>
    <ignoredError sqref="E50" formulaRange="1"/>
  </ignoredErrors>
  <legacyDrawing r:id="rId2"/>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2:W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8" width="10.6640625" style="14" customWidth="1"/>
    <col min="19" max="16384" width="9.109375" style="14"/>
  </cols>
  <sheetData>
    <row r="2" spans="1:18">
      <c r="A2" s="13" t="s">
        <v>44</v>
      </c>
      <c r="B2" s="14" t="s">
        <v>329</v>
      </c>
    </row>
    <row r="3" spans="1:18" s="16" customFormat="1">
      <c r="A3" s="15" t="s">
        <v>45</v>
      </c>
      <c r="B3" s="16" t="s">
        <v>330</v>
      </c>
    </row>
    <row r="4" spans="1:18">
      <c r="A4" s="13" t="s">
        <v>2</v>
      </c>
      <c r="B4" s="14" t="s">
        <v>4</v>
      </c>
    </row>
    <row r="5" spans="1:18">
      <c r="A5" s="13" t="s">
        <v>46</v>
      </c>
    </row>
    <row r="6" spans="1:18">
      <c r="A6" s="13" t="s">
        <v>47</v>
      </c>
      <c r="B6" s="14">
        <v>3</v>
      </c>
    </row>
    <row r="7" spans="1:18">
      <c r="A7" s="13" t="s">
        <v>48</v>
      </c>
      <c r="B7" s="14" t="s">
        <v>449</v>
      </c>
    </row>
    <row r="8" spans="1:18">
      <c r="A8" s="13" t="s">
        <v>347</v>
      </c>
      <c r="B8" s="14" t="s">
        <v>354</v>
      </c>
    </row>
    <row r="9" spans="1:18">
      <c r="A9" s="17"/>
    </row>
    <row r="10" spans="1:18">
      <c r="A10" s="17" t="s">
        <v>49</v>
      </c>
      <c r="B10" s="18">
        <v>44286</v>
      </c>
      <c r="C10" s="18">
        <v>44196</v>
      </c>
      <c r="D10" s="18">
        <v>44104</v>
      </c>
      <c r="E10" s="18">
        <v>44012</v>
      </c>
      <c r="F10" s="18">
        <v>43921</v>
      </c>
      <c r="G10" s="18">
        <v>43830</v>
      </c>
      <c r="H10" s="18">
        <v>43738</v>
      </c>
      <c r="I10" s="18">
        <v>43646</v>
      </c>
      <c r="J10" s="18">
        <v>43555</v>
      </c>
      <c r="K10" s="18">
        <v>43465</v>
      </c>
      <c r="L10" s="18">
        <v>43373</v>
      </c>
      <c r="M10" s="18">
        <f>EOMONTH(L10,-3)</f>
        <v>43281</v>
      </c>
      <c r="N10" s="18">
        <f t="shared" ref="N10:R10" si="0">EOMONTH(M10,-3)</f>
        <v>43190</v>
      </c>
      <c r="O10" s="18">
        <f t="shared" si="0"/>
        <v>43100</v>
      </c>
      <c r="P10" s="18">
        <f t="shared" si="0"/>
        <v>43008</v>
      </c>
      <c r="Q10" s="18">
        <f t="shared" si="0"/>
        <v>42916</v>
      </c>
      <c r="R10" s="18">
        <f t="shared" si="0"/>
        <v>42825</v>
      </c>
    </row>
    <row r="11" spans="1:18">
      <c r="B11" s="33"/>
      <c r="C11" s="33"/>
      <c r="D11" s="33"/>
      <c r="E11" s="33"/>
      <c r="F11" s="33"/>
      <c r="G11" s="33"/>
      <c r="H11" s="33"/>
      <c r="I11" s="33"/>
      <c r="J11" s="33"/>
      <c r="K11" s="33"/>
      <c r="M11" s="33"/>
    </row>
    <row r="12" spans="1:18">
      <c r="A12" s="19" t="s">
        <v>50</v>
      </c>
      <c r="B12" s="20">
        <v>734.15700000000004</v>
      </c>
      <c r="C12" s="20">
        <f>3078.393-D12-E12-F12</f>
        <v>735.23500000000001</v>
      </c>
      <c r="D12" s="20">
        <v>668.399</v>
      </c>
      <c r="E12" s="20">
        <v>708.38</v>
      </c>
      <c r="F12" s="20">
        <v>966.37900000000002</v>
      </c>
      <c r="G12" s="20">
        <f>2881.215+872.178-H12-I12-J12</f>
        <v>978.32899999999961</v>
      </c>
      <c r="H12" s="20">
        <v>954.92100000000005</v>
      </c>
      <c r="I12" s="20">
        <v>947.96500000000003</v>
      </c>
      <c r="J12" s="20">
        <v>872.178</v>
      </c>
      <c r="K12" s="20">
        <f>3011.705-L12-M12-N12</f>
        <v>862.26599999999996</v>
      </c>
      <c r="L12" s="20">
        <v>733.274</v>
      </c>
      <c r="M12" s="20">
        <v>767.12099999999998</v>
      </c>
      <c r="N12" s="20">
        <v>649.04399999999998</v>
      </c>
      <c r="O12" s="20">
        <f>2156.297-P12-Q12-R12</f>
        <v>667.62300000000005</v>
      </c>
      <c r="P12" s="20">
        <v>516.16099999999994</v>
      </c>
      <c r="Q12" s="20">
        <v>511.44799999999998</v>
      </c>
      <c r="R12" s="20">
        <v>461.065</v>
      </c>
    </row>
    <row r="13" spans="1:18" s="21" customFormat="1">
      <c r="A13" s="21" t="s">
        <v>51</v>
      </c>
      <c r="B13" s="21">
        <f t="shared" ref="B13:N13" si="1">+B12/F12-1</f>
        <v>-0.24030116548476321</v>
      </c>
      <c r="C13" s="21">
        <f t="shared" si="1"/>
        <v>-0.24847878372204002</v>
      </c>
      <c r="D13" s="21">
        <f t="shared" si="1"/>
        <v>-0.30004785736202266</v>
      </c>
      <c r="E13" s="21">
        <f t="shared" si="1"/>
        <v>-0.25273612422399561</v>
      </c>
      <c r="F13" s="21">
        <f t="shared" si="1"/>
        <v>0.10800662250137005</v>
      </c>
      <c r="G13" s="21">
        <f t="shared" si="1"/>
        <v>0.13460231529481592</v>
      </c>
      <c r="H13" s="21">
        <f t="shared" si="1"/>
        <v>0.30227036551139141</v>
      </c>
      <c r="I13" s="21">
        <f t="shared" si="1"/>
        <v>0.23574377445018468</v>
      </c>
      <c r="J13" s="21">
        <f t="shared" si="1"/>
        <v>0.34378871078077911</v>
      </c>
      <c r="K13" s="21">
        <f t="shared" si="1"/>
        <v>0.2915462768658359</v>
      </c>
      <c r="L13" s="21">
        <f t="shared" si="1"/>
        <v>0.42063038470554748</v>
      </c>
      <c r="M13" s="21">
        <f t="shared" si="1"/>
        <v>0.49990028311773638</v>
      </c>
      <c r="N13" s="21">
        <f t="shared" si="1"/>
        <v>0.40770607181200047</v>
      </c>
    </row>
    <row r="14" spans="1:18" s="24" customFormat="1">
      <c r="A14" s="22" t="s">
        <v>52</v>
      </c>
      <c r="B14" s="23" t="s">
        <v>3</v>
      </c>
      <c r="C14" s="23" t="s">
        <v>3</v>
      </c>
      <c r="D14" s="23" t="s">
        <v>3</v>
      </c>
      <c r="E14" s="23" t="s">
        <v>3</v>
      </c>
      <c r="F14" s="23" t="s">
        <v>3</v>
      </c>
      <c r="G14" s="23" t="s">
        <v>3</v>
      </c>
      <c r="H14" s="23" t="s">
        <v>3</v>
      </c>
      <c r="I14" s="23" t="s">
        <v>3</v>
      </c>
      <c r="J14" s="23" t="s">
        <v>3</v>
      </c>
      <c r="K14" s="23" t="s">
        <v>3</v>
      </c>
      <c r="L14" s="23" t="s">
        <v>3</v>
      </c>
      <c r="M14" s="23" t="s">
        <v>3</v>
      </c>
      <c r="N14" s="23" t="s">
        <v>3</v>
      </c>
      <c r="O14" s="23"/>
      <c r="P14" s="22"/>
      <c r="Q14" s="22"/>
      <c r="R14" s="22"/>
    </row>
    <row r="16" spans="1:18" s="17" customFormat="1">
      <c r="A16" s="25" t="s">
        <v>53</v>
      </c>
      <c r="B16" s="26">
        <v>75.3</v>
      </c>
      <c r="C16" s="26">
        <v>80.099999999999994</v>
      </c>
      <c r="D16" s="26">
        <v>72.099999999999994</v>
      </c>
      <c r="E16" s="26">
        <v>85</v>
      </c>
      <c r="F16" s="26">
        <v>117.1</v>
      </c>
      <c r="G16" s="26">
        <v>133.19999999999999</v>
      </c>
      <c r="H16" s="26">
        <f>238.9-I16</f>
        <v>117.60000000000001</v>
      </c>
      <c r="I16" s="26">
        <v>121.3</v>
      </c>
      <c r="J16" s="26">
        <v>114.6</v>
      </c>
      <c r="K16" s="26">
        <f>400.7-L16-M16-N16</f>
        <v>108.30000000000004</v>
      </c>
      <c r="L16" s="26">
        <v>102.99999999999997</v>
      </c>
      <c r="M16" s="26">
        <v>105</v>
      </c>
      <c r="N16" s="26">
        <v>84.4</v>
      </c>
      <c r="O16" s="26">
        <v>85.1</v>
      </c>
      <c r="P16" s="26">
        <v>72.099999999999994</v>
      </c>
      <c r="Q16" s="26">
        <v>70.900000000000006</v>
      </c>
      <c r="R16" s="26">
        <v>55.6</v>
      </c>
    </row>
    <row r="17" spans="1:23" s="21" customFormat="1">
      <c r="A17" s="21" t="s">
        <v>54</v>
      </c>
      <c r="B17" s="21">
        <f t="shared" ref="B17" si="2">+B16/B12</f>
        <v>0.10256661722220178</v>
      </c>
      <c r="C17" s="21">
        <f t="shared" ref="C17:D17" si="3">+C16/C12</f>
        <v>0.10894475915863634</v>
      </c>
      <c r="D17" s="21">
        <f t="shared" si="3"/>
        <v>0.10786970058303498</v>
      </c>
      <c r="E17" s="21">
        <f t="shared" ref="E17:F17" si="4">+E16/E12</f>
        <v>0.11999209463847088</v>
      </c>
      <c r="F17" s="21">
        <f t="shared" si="4"/>
        <v>0.1211739907427624</v>
      </c>
      <c r="G17" s="21">
        <f t="shared" ref="G17:L17" si="5">+G16/G12</f>
        <v>0.13615051787282198</v>
      </c>
      <c r="H17" s="21">
        <f t="shared" si="5"/>
        <v>0.12315154866214063</v>
      </c>
      <c r="I17" s="21">
        <f t="shared" si="5"/>
        <v>0.12795831069712488</v>
      </c>
      <c r="J17" s="21">
        <f t="shared" si="5"/>
        <v>0.13139519685201873</v>
      </c>
      <c r="K17" s="21">
        <f t="shared" si="5"/>
        <v>0.12559929302558612</v>
      </c>
      <c r="L17" s="21">
        <f t="shared" si="5"/>
        <v>0.14046591042366152</v>
      </c>
      <c r="M17" s="21">
        <f t="shared" ref="M17:R17" si="6">+M16/M12</f>
        <v>0.13687540818202082</v>
      </c>
      <c r="N17" s="21">
        <f t="shared" si="6"/>
        <v>0.13003740886596288</v>
      </c>
      <c r="O17" s="21">
        <f t="shared" si="6"/>
        <v>0.12746714837565509</v>
      </c>
      <c r="P17" s="21">
        <f t="shared" si="6"/>
        <v>0.13968509825422687</v>
      </c>
      <c r="Q17" s="21">
        <f t="shared" si="6"/>
        <v>0.13862601867638549</v>
      </c>
      <c r="R17" s="21">
        <f t="shared" si="6"/>
        <v>0.12059037229024108</v>
      </c>
    </row>
    <row r="18" spans="1:23" s="24" customFormat="1"/>
    <row r="19" spans="1:23" s="24" customFormat="1">
      <c r="A19" s="19" t="s">
        <v>55</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row>
    <row r="20" spans="1:23" s="24" customFormat="1">
      <c r="A20" s="19" t="s">
        <v>56</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row>
    <row r="21" spans="1:23" s="24" customFormat="1">
      <c r="A21" s="19" t="s">
        <v>57</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row>
    <row r="22" spans="1:23" s="17" customFormat="1">
      <c r="A22" s="17" t="s">
        <v>58</v>
      </c>
      <c r="B22" s="27">
        <f t="shared" ref="B22" si="7">SUM(B16,B19:B21)</f>
        <v>75.3</v>
      </c>
      <c r="C22" s="27">
        <f t="shared" ref="C22:D22" si="8">SUM(C16,C19:C21)</f>
        <v>80.099999999999994</v>
      </c>
      <c r="D22" s="27">
        <f t="shared" si="8"/>
        <v>72.099999999999994</v>
      </c>
      <c r="E22" s="27">
        <f t="shared" ref="E22:F22" si="9">SUM(E16,E19:E21)</f>
        <v>85</v>
      </c>
      <c r="F22" s="27">
        <f t="shared" si="9"/>
        <v>117.1</v>
      </c>
      <c r="G22" s="27">
        <f t="shared" ref="G22:L22" si="10">SUM(G16,G19:G21)</f>
        <v>133.19999999999999</v>
      </c>
      <c r="H22" s="27">
        <f t="shared" si="10"/>
        <v>117.60000000000001</v>
      </c>
      <c r="I22" s="27">
        <f t="shared" si="10"/>
        <v>121.3</v>
      </c>
      <c r="J22" s="27">
        <f t="shared" si="10"/>
        <v>114.6</v>
      </c>
      <c r="K22" s="27">
        <f t="shared" si="10"/>
        <v>108.30000000000004</v>
      </c>
      <c r="L22" s="27">
        <f t="shared" si="10"/>
        <v>102.99999999999997</v>
      </c>
      <c r="M22" s="27">
        <f t="shared" ref="M22:R22" si="11">SUM(M16,M19:M21)</f>
        <v>105</v>
      </c>
      <c r="N22" s="27">
        <f t="shared" si="11"/>
        <v>84.4</v>
      </c>
      <c r="O22" s="27">
        <f t="shared" si="11"/>
        <v>85.1</v>
      </c>
      <c r="P22" s="27">
        <f t="shared" si="11"/>
        <v>72.099999999999994</v>
      </c>
      <c r="Q22" s="27">
        <f t="shared" si="11"/>
        <v>70.900000000000006</v>
      </c>
      <c r="R22" s="27">
        <f t="shared" si="11"/>
        <v>55.6</v>
      </c>
    </row>
    <row r="23" spans="1:23" s="17" customFormat="1">
      <c r="B23" s="27"/>
      <c r="C23" s="27"/>
      <c r="D23" s="27"/>
      <c r="E23" s="27"/>
      <c r="F23" s="27"/>
      <c r="G23" s="27"/>
      <c r="H23" s="27"/>
      <c r="I23" s="27"/>
      <c r="J23" s="27"/>
      <c r="K23" s="27"/>
      <c r="L23" s="27"/>
      <c r="M23" s="27"/>
      <c r="N23" s="27"/>
      <c r="O23" s="27"/>
      <c r="P23" s="27"/>
      <c r="Q23" s="27"/>
      <c r="R23" s="27"/>
    </row>
    <row r="24" spans="1:23" s="17" customFormat="1">
      <c r="A24" s="17" t="s">
        <v>59</v>
      </c>
      <c r="B24" s="27">
        <f t="shared" ref="B24:N24" si="12">SUM(B22:E22)</f>
        <v>312.5</v>
      </c>
      <c r="C24" s="27">
        <f t="shared" si="12"/>
        <v>354.29999999999995</v>
      </c>
      <c r="D24" s="27">
        <f t="shared" si="12"/>
        <v>407.4</v>
      </c>
      <c r="E24" s="27">
        <f t="shared" si="12"/>
        <v>452.9</v>
      </c>
      <c r="F24" s="27">
        <f t="shared" si="12"/>
        <v>489.2</v>
      </c>
      <c r="G24" s="27">
        <f t="shared" si="12"/>
        <v>486.70000000000005</v>
      </c>
      <c r="H24" s="27">
        <f t="shared" si="12"/>
        <v>461.80000000000007</v>
      </c>
      <c r="I24" s="27">
        <f t="shared" si="12"/>
        <v>447.20000000000005</v>
      </c>
      <c r="J24" s="27">
        <f t="shared" si="12"/>
        <v>430.9</v>
      </c>
      <c r="K24" s="27">
        <f t="shared" si="12"/>
        <v>400.70000000000005</v>
      </c>
      <c r="L24" s="27">
        <f t="shared" si="12"/>
        <v>377.5</v>
      </c>
      <c r="M24" s="27">
        <f t="shared" si="12"/>
        <v>346.6</v>
      </c>
      <c r="N24" s="27">
        <f t="shared" si="12"/>
        <v>312.5</v>
      </c>
      <c r="O24" s="46">
        <v>277.60000000000002</v>
      </c>
      <c r="P24" s="27"/>
      <c r="Q24" s="27"/>
      <c r="R24" s="27"/>
    </row>
    <row r="25" spans="1:23" s="24" customFormat="1">
      <c r="A25" s="19" t="s">
        <v>60</v>
      </c>
      <c r="B25" s="28">
        <f>312.5-B24</f>
        <v>0</v>
      </c>
      <c r="C25" s="28">
        <f>354.3-C24</f>
        <v>0</v>
      </c>
      <c r="D25" s="28">
        <f>406.9-D24</f>
        <v>-0.5</v>
      </c>
      <c r="E25" s="28">
        <f>454.2-E24</f>
        <v>1.3000000000000114</v>
      </c>
      <c r="F25" s="28">
        <f>482.2-F24</f>
        <v>-7</v>
      </c>
      <c r="G25" s="28">
        <f>483.5-G24</f>
        <v>-3.2000000000000455</v>
      </c>
      <c r="H25" s="28">
        <f>477.6-H24</f>
        <v>15.799999999999955</v>
      </c>
      <c r="I25" s="28">
        <f>478.7-I24</f>
        <v>31.499999999999943</v>
      </c>
      <c r="J25" s="28">
        <f>471.7-J24</f>
        <v>40.800000000000011</v>
      </c>
      <c r="K25" s="28">
        <f>457-K26-K24</f>
        <v>56.299999999999955</v>
      </c>
      <c r="L25" s="28">
        <f>446-L26-L24</f>
        <v>23.100000000000023</v>
      </c>
      <c r="M25" s="28">
        <v>0</v>
      </c>
      <c r="N25" s="28">
        <v>0</v>
      </c>
      <c r="O25" s="28">
        <v>0</v>
      </c>
      <c r="P25" s="28"/>
      <c r="Q25" s="28"/>
      <c r="R25" s="28"/>
    </row>
    <row r="26" spans="1:23" s="24" customFormat="1">
      <c r="A26" s="19" t="s">
        <v>61</v>
      </c>
      <c r="B26" s="29">
        <v>0</v>
      </c>
      <c r="C26" s="29">
        <v>0</v>
      </c>
      <c r="D26" s="29">
        <v>0</v>
      </c>
      <c r="E26" s="29">
        <v>0</v>
      </c>
      <c r="F26" s="29">
        <v>0</v>
      </c>
      <c r="G26" s="29">
        <v>0</v>
      </c>
      <c r="H26" s="29">
        <v>0</v>
      </c>
      <c r="I26" s="29">
        <v>0</v>
      </c>
      <c r="J26" s="29">
        <v>0</v>
      </c>
      <c r="K26" s="29">
        <v>0</v>
      </c>
      <c r="L26" s="29">
        <f>7.5+37.9</f>
        <v>45.4</v>
      </c>
      <c r="M26" s="29">
        <v>0</v>
      </c>
      <c r="N26" s="29">
        <v>0</v>
      </c>
      <c r="O26" s="29">
        <v>0</v>
      </c>
      <c r="P26" s="29"/>
      <c r="Q26" s="30"/>
      <c r="R26" s="30"/>
    </row>
    <row r="27" spans="1:23" s="32" customFormat="1">
      <c r="A27" s="17" t="s">
        <v>62</v>
      </c>
      <c r="B27" s="27">
        <f t="shared" ref="B27:C27" si="13">SUM(B24:B26)</f>
        <v>312.5</v>
      </c>
      <c r="C27" s="27">
        <f t="shared" si="13"/>
        <v>354.29999999999995</v>
      </c>
      <c r="D27" s="27">
        <f t="shared" ref="D27:F27" si="14">SUM(D24:D26)</f>
        <v>406.9</v>
      </c>
      <c r="E27" s="27">
        <f t="shared" si="14"/>
        <v>454.2</v>
      </c>
      <c r="F27" s="27">
        <f t="shared" si="14"/>
        <v>482.2</v>
      </c>
      <c r="G27" s="27">
        <f t="shared" ref="G27:H27" si="15">SUM(G24:G26)</f>
        <v>483.5</v>
      </c>
      <c r="H27" s="27">
        <f t="shared" si="15"/>
        <v>477.6</v>
      </c>
      <c r="I27" s="27">
        <f t="shared" ref="I27:O27" si="16">SUM(I24:I26)</f>
        <v>478.7</v>
      </c>
      <c r="J27" s="27">
        <f t="shared" si="16"/>
        <v>471.7</v>
      </c>
      <c r="K27" s="27">
        <f t="shared" si="16"/>
        <v>457</v>
      </c>
      <c r="L27" s="27">
        <f t="shared" si="16"/>
        <v>446</v>
      </c>
      <c r="M27" s="27">
        <f t="shared" si="16"/>
        <v>346.6</v>
      </c>
      <c r="N27" s="27">
        <f t="shared" si="16"/>
        <v>312.5</v>
      </c>
      <c r="O27" s="27">
        <f t="shared" si="16"/>
        <v>277.60000000000002</v>
      </c>
      <c r="P27" s="27"/>
      <c r="Q27" s="31"/>
      <c r="R27" s="31"/>
    </row>
    <row r="28" spans="1:23" s="24" customFormat="1">
      <c r="O28" s="131"/>
    </row>
    <row r="29" spans="1:23" s="17" customFormat="1">
      <c r="A29" s="17" t="s">
        <v>58</v>
      </c>
      <c r="B29" s="27">
        <f t="shared" ref="B29:C29" si="17">B22</f>
        <v>75.3</v>
      </c>
      <c r="C29" s="27">
        <f t="shared" si="17"/>
        <v>80.099999999999994</v>
      </c>
      <c r="D29" s="27">
        <f t="shared" ref="D29:F29" si="18">D22</f>
        <v>72.099999999999994</v>
      </c>
      <c r="E29" s="27">
        <f t="shared" si="18"/>
        <v>85</v>
      </c>
      <c r="F29" s="27">
        <f t="shared" si="18"/>
        <v>117.1</v>
      </c>
      <c r="G29" s="27">
        <f t="shared" ref="G29:H29" si="19">G22</f>
        <v>133.19999999999999</v>
      </c>
      <c r="H29" s="27">
        <f t="shared" si="19"/>
        <v>117.60000000000001</v>
      </c>
      <c r="I29" s="27">
        <f t="shared" ref="I29:R29" si="20">I22</f>
        <v>121.3</v>
      </c>
      <c r="J29" s="27">
        <f t="shared" si="20"/>
        <v>114.6</v>
      </c>
      <c r="K29" s="27">
        <f t="shared" si="20"/>
        <v>108.30000000000004</v>
      </c>
      <c r="L29" s="27">
        <f t="shared" si="20"/>
        <v>102.99999999999997</v>
      </c>
      <c r="M29" s="27">
        <f t="shared" si="20"/>
        <v>105</v>
      </c>
      <c r="N29" s="27">
        <f t="shared" si="20"/>
        <v>84.4</v>
      </c>
      <c r="O29" s="27">
        <f t="shared" si="20"/>
        <v>85.1</v>
      </c>
      <c r="P29" s="27">
        <f t="shared" si="20"/>
        <v>72.099999999999994</v>
      </c>
      <c r="Q29" s="27">
        <f t="shared" si="20"/>
        <v>70.900000000000006</v>
      </c>
      <c r="R29" s="27">
        <f t="shared" si="20"/>
        <v>55.6</v>
      </c>
      <c r="V29" s="75"/>
      <c r="W29" s="75"/>
    </row>
    <row r="30" spans="1:23" s="33" customFormat="1">
      <c r="A30" s="20" t="s">
        <v>63</v>
      </c>
      <c r="B30" s="20">
        <f>-48.48+3.515</f>
        <v>-44.964999999999996</v>
      </c>
      <c r="C30" s="20">
        <f>-168.154-D30-E30-F30</f>
        <v>-13.033999999999992</v>
      </c>
      <c r="D30" s="20">
        <f>-165.816+10.696-E30-F30</f>
        <v>-48.265999999999991</v>
      </c>
      <c r="E30" s="20">
        <f>-114.034+7.18-F30</f>
        <v>-54.152000000000015</v>
      </c>
      <c r="F30" s="20">
        <f>-56.408+3.706</f>
        <v>-52.701999999999998</v>
      </c>
      <c r="G30" s="20">
        <f>-156.525-53.256-H30-I30-J30</f>
        <v>-51.268000000000036</v>
      </c>
      <c r="H30" s="20">
        <f>-124.889-44.004+7.955+2.425-I30-J30</f>
        <v>-55.254999999999974</v>
      </c>
      <c r="I30" s="20">
        <f>-65.656+3.977</f>
        <v>-61.679000000000009</v>
      </c>
      <c r="J30" s="20">
        <f>-44.004+2.425</f>
        <v>-41.579000000000001</v>
      </c>
      <c r="K30" s="20">
        <f>-163.286-L30-M30-N30</f>
        <v>-47.600999999999999</v>
      </c>
      <c r="L30" s="20">
        <f>-123.129+7.444-M30-N30</f>
        <v>-39.710000000000008</v>
      </c>
      <c r="M30" s="20">
        <f>-80.94+4.965-N30</f>
        <v>-38.578999999999994</v>
      </c>
      <c r="N30" s="20">
        <f>-39.878+2.482</f>
        <v>-37.396000000000001</v>
      </c>
      <c r="O30" s="20">
        <f>-111.983-P30-Q30-R30</f>
        <v>-27.995750000000001</v>
      </c>
      <c r="P30" s="20">
        <v>-27.995750000000001</v>
      </c>
      <c r="Q30" s="20">
        <v>-27.995750000000001</v>
      </c>
      <c r="R30" s="20">
        <v>-27.995750000000001</v>
      </c>
    </row>
    <row r="31" spans="1:23" s="33" customFormat="1">
      <c r="A31" s="20" t="s">
        <v>64</v>
      </c>
      <c r="B31" s="20">
        <f>-2.656-6.326</f>
        <v>-8.9819999999999993</v>
      </c>
      <c r="C31" s="20">
        <f>-19.007-D31-E31-F31</f>
        <v>16.959999999999997</v>
      </c>
      <c r="D31" s="20">
        <f>2.944-38.911-E31-F31</f>
        <v>-14</v>
      </c>
      <c r="E31" s="20">
        <f>2.306-24.273-F31</f>
        <v>-5.1679999999999993</v>
      </c>
      <c r="F31" s="20">
        <f>1.598-18.397</f>
        <v>-16.798999999999999</v>
      </c>
      <c r="G31" s="20">
        <f>-57.516-3.995-H31-I31-J31</f>
        <v>15.602</v>
      </c>
      <c r="H31" s="20">
        <f>6.577+6.791-62.064-28.417-I31-J31</f>
        <v>-25.907</v>
      </c>
      <c r="I31" s="20">
        <f>6.104-35.684</f>
        <v>-29.58</v>
      </c>
      <c r="J31" s="20">
        <f>6.791-28.417</f>
        <v>-21.626000000000001</v>
      </c>
      <c r="K31" s="20">
        <f>-53.438-L31-M31-N31</f>
        <v>-27.792000000000002</v>
      </c>
      <c r="L31" s="20">
        <f>-3.457-22.189-M31-N31</f>
        <v>-11.295000000000002</v>
      </c>
      <c r="M31" s="20">
        <f>0.394-14.745-N31</f>
        <v>-8.6069999999999993</v>
      </c>
      <c r="N31" s="20">
        <f>2.016-7.76</f>
        <v>-5.7439999999999998</v>
      </c>
      <c r="O31" s="20">
        <f>-9.023-P31-Q31-R31</f>
        <v>-2.2557499999999999</v>
      </c>
      <c r="P31" s="20">
        <v>-2.2557499999999999</v>
      </c>
      <c r="Q31" s="20">
        <v>-2.2557499999999999</v>
      </c>
      <c r="R31" s="20">
        <v>-2.2557499999999999</v>
      </c>
    </row>
    <row r="32" spans="1:23" s="33" customFormat="1">
      <c r="A32" s="20" t="s">
        <v>65</v>
      </c>
      <c r="B32" s="20">
        <f>31.573-59.167-25.703+24.176+5.221+5.98-4.609</f>
        <v>-22.528999999999996</v>
      </c>
      <c r="C32" s="20">
        <f>114.708+16.216+95.422-7.391-121.931-38.708+0.138-7.397-D32-E32-F32</f>
        <v>92.188000000000031</v>
      </c>
      <c r="D32" s="20">
        <f>132.567-76.302+61.906-5.533-111.676-61.63+0.138+19.399-E32-F32</f>
        <v>48.304999999999978</v>
      </c>
      <c r="E32" s="20">
        <f>108.328-52.331-4.533-13.321-100.309-35.797+0.276+8.251-F32</f>
        <v>34.899999999999991</v>
      </c>
      <c r="F32" s="20">
        <f>-76.672-87.635-115.748-7.5+174.935-16.665+0.138+4.811</f>
        <v>-124.33599999999998</v>
      </c>
      <c r="G32" s="20">
        <f>-18.821-103.788+77.009+5.909-69.208-13.897-21.845+42.167-115.97-55.816-13.145+127.651-40.795+3.147+15.522-H32-I32-J32</f>
        <v>11.284999999999997</v>
      </c>
      <c r="H32" s="20">
        <f>-68.157-129.951-13.691+3.084+80.883-32.108+0.75+12.783+42.167-115.97-55.816-13.145+129.09-40.795-7.055+14.766-I32-J32</f>
        <v>-63.115999999999971</v>
      </c>
      <c r="I32" s="20">
        <f>12.818-49.75+13.69-7.811-52.771-23.684+14.998</f>
        <v>-92.51</v>
      </c>
      <c r="J32" s="20">
        <f>42.167-115.97-55.816-13.145+127.651-40.795+3.147+15.222</f>
        <v>-37.539000000000016</v>
      </c>
      <c r="K32" s="20">
        <f>-142.648-109.223+2.017+32.03+109.565+4.855-20.609-L32-M32-N32</f>
        <v>47.47600000000007</v>
      </c>
      <c r="L32" s="20">
        <f>-60.06-141.546-11.916-1.168+71.871+0.75-29.42-M32-N32</f>
        <v>-38.392000000000067</v>
      </c>
      <c r="M32" s="20">
        <f>-51.476-105.332-12.358+18.924+52.806-2.1-33.561-N32</f>
        <v>-30.051000000000002</v>
      </c>
      <c r="N32" s="20">
        <f>-27.905-70.314+2.468-35.472+48.685+3.18-23.688</f>
        <v>-103.04599999999998</v>
      </c>
      <c r="O32" s="20">
        <f>-59.914-31.678-5.721-113.954+74.951+1.38+38.066-P32-Q32-R32</f>
        <v>-33.627000000000017</v>
      </c>
      <c r="P32" s="20">
        <v>-64.731999999999985</v>
      </c>
      <c r="Q32" s="20">
        <v>31.503999999999987</v>
      </c>
      <c r="R32" s="20">
        <v>-30.014999999999993</v>
      </c>
    </row>
    <row r="33" spans="1:22"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row>
    <row r="34" spans="1:22"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row>
    <row r="35" spans="1:22" s="27" customFormat="1">
      <c r="A35" s="27" t="s">
        <v>67</v>
      </c>
      <c r="B35" s="27">
        <v>-10.571</v>
      </c>
      <c r="C35" s="27">
        <f>153.42-D35-E35-F35</f>
        <v>136.76499999999999</v>
      </c>
      <c r="D35" s="27">
        <f>16.655-E35-F35</f>
        <v>56.008000000000003</v>
      </c>
      <c r="E35" s="27">
        <f>-39.353-F35</f>
        <v>51.508000000000003</v>
      </c>
      <c r="F35" s="27">
        <v>-90.861000000000004</v>
      </c>
      <c r="G35" s="27">
        <f>-77.164-3.685-H35-I35-J35</f>
        <v>59.397000000000006</v>
      </c>
      <c r="H35" s="27">
        <f>-136.561-3.685-I35-J35</f>
        <v>-29.474000000000007</v>
      </c>
      <c r="I35" s="27">
        <v>-107.087</v>
      </c>
      <c r="J35" s="27">
        <v>-3.6850000000000001</v>
      </c>
      <c r="K35" s="27">
        <f>19.829-L35-M35-N35</f>
        <v>82.801999999999992</v>
      </c>
      <c r="L35" s="27">
        <f>-62.973-M35-N35</f>
        <v>5.5040000000000049</v>
      </c>
      <c r="M35" s="27">
        <f>-68.477-N35</f>
        <v>7.6199999999999903</v>
      </c>
      <c r="N35" s="27">
        <v>-76.096999999999994</v>
      </c>
      <c r="O35" s="27">
        <f>-73.095-P35-Q35-R35</f>
        <v>-73.649000000000001</v>
      </c>
      <c r="P35" s="27">
        <v>44.905999999999999</v>
      </c>
      <c r="Q35" s="27">
        <v>-30.901999999999997</v>
      </c>
      <c r="R35" s="27">
        <v>-13.45</v>
      </c>
    </row>
    <row r="36" spans="1:22" s="33" customFormat="1">
      <c r="A36" s="20" t="s">
        <v>68</v>
      </c>
      <c r="B36" s="29">
        <f>-4.97-0.089</f>
        <v>-5.0590000000000002</v>
      </c>
      <c r="C36" s="29">
        <f>-21.984-D36-E36-F36</f>
        <v>-4.5360000000000023</v>
      </c>
      <c r="D36" s="29">
        <f>-16.561-0.887-E36-F36</f>
        <v>-3.3790000000000022</v>
      </c>
      <c r="E36" s="29">
        <f>-13.215-0.854-F36</f>
        <v>-6.2219999999999986</v>
      </c>
      <c r="F36" s="29">
        <f>-7.205-0.642</f>
        <v>-7.8470000000000004</v>
      </c>
      <c r="G36" s="29">
        <f>-52.885-18.68-H36-I36-J36</f>
        <v>-7.8659999999999997</v>
      </c>
      <c r="H36" s="29">
        <f>-35.769-18.68-8.5-0.75-I36-J36</f>
        <v>-26.561</v>
      </c>
      <c r="I36" s="29">
        <f>-17.708</f>
        <v>-17.707999999999998</v>
      </c>
      <c r="J36" s="29">
        <f>-18.68-0.75</f>
        <v>-19.43</v>
      </c>
      <c r="K36" s="29">
        <f>-45.952-L36-M36-N36</f>
        <v>-0.19899999999999896</v>
      </c>
      <c r="L36" s="29">
        <f>-30.567-15.186-M36-N36</f>
        <v>-10.162999999999997</v>
      </c>
      <c r="M36" s="29">
        <f>-14.589-21.001-N36</f>
        <v>-28.633000000000003</v>
      </c>
      <c r="N36" s="29">
        <f>-6.911-0.046</f>
        <v>-6.9569999999999999</v>
      </c>
      <c r="O36" s="29">
        <f>-31.604-P36-Q36-R36</f>
        <v>-8.2189999999999976</v>
      </c>
      <c r="P36" s="29">
        <v>-6.6710000000000029</v>
      </c>
      <c r="Q36" s="29">
        <v>-10.684999999999999</v>
      </c>
      <c r="R36" s="29">
        <v>-6.0289999999999999</v>
      </c>
    </row>
    <row r="37" spans="1:22" s="27" customFormat="1">
      <c r="A37" s="27" t="s">
        <v>69</v>
      </c>
      <c r="B37" s="27">
        <f t="shared" ref="B37:L37" si="21">+B35+B36</f>
        <v>-15.629999999999999</v>
      </c>
      <c r="C37" s="27">
        <f t="shared" si="21"/>
        <v>132.22899999999998</v>
      </c>
      <c r="D37" s="27">
        <f t="shared" si="21"/>
        <v>52.628999999999998</v>
      </c>
      <c r="E37" s="27">
        <f t="shared" si="21"/>
        <v>45.286000000000001</v>
      </c>
      <c r="F37" s="27">
        <f t="shared" si="21"/>
        <v>-98.707999999999998</v>
      </c>
      <c r="G37" s="27">
        <f t="shared" si="21"/>
        <v>51.531000000000006</v>
      </c>
      <c r="H37" s="27">
        <f t="shared" si="21"/>
        <v>-56.035000000000011</v>
      </c>
      <c r="I37" s="27">
        <f t="shared" si="21"/>
        <v>-124.795</v>
      </c>
      <c r="J37" s="27">
        <f t="shared" si="21"/>
        <v>-23.114999999999998</v>
      </c>
      <c r="K37" s="27">
        <f t="shared" si="21"/>
        <v>82.602999999999994</v>
      </c>
      <c r="L37" s="27">
        <f t="shared" si="21"/>
        <v>-4.6589999999999918</v>
      </c>
      <c r="M37" s="27">
        <f t="shared" ref="M37:R37" si="22">+M35+M36</f>
        <v>-21.013000000000012</v>
      </c>
      <c r="N37" s="27">
        <f t="shared" si="22"/>
        <v>-83.053999999999988</v>
      </c>
      <c r="O37" s="27">
        <f t="shared" si="22"/>
        <v>-81.867999999999995</v>
      </c>
      <c r="P37" s="27">
        <f t="shared" si="22"/>
        <v>38.234999999999999</v>
      </c>
      <c r="Q37" s="27">
        <f t="shared" si="22"/>
        <v>-41.586999999999996</v>
      </c>
      <c r="R37" s="27">
        <f t="shared" si="22"/>
        <v>-19.478999999999999</v>
      </c>
    </row>
    <row r="38" spans="1:22">
      <c r="B38" s="33"/>
      <c r="C38" s="33"/>
      <c r="D38" s="33"/>
      <c r="E38" s="33"/>
      <c r="F38" s="33"/>
      <c r="G38" s="33"/>
      <c r="H38" s="33"/>
      <c r="I38" s="33"/>
      <c r="J38" s="33"/>
      <c r="K38" s="33"/>
      <c r="T38" s="76"/>
      <c r="U38" s="76"/>
      <c r="V38" s="76"/>
    </row>
    <row r="39" spans="1:22" s="35" customFormat="1">
      <c r="A39" s="34" t="s">
        <v>70</v>
      </c>
      <c r="B39" s="20">
        <v>0</v>
      </c>
      <c r="C39" s="20">
        <v>0</v>
      </c>
      <c r="D39" s="20">
        <v>130</v>
      </c>
      <c r="E39" s="20">
        <v>180</v>
      </c>
      <c r="F39" s="20">
        <v>207.5</v>
      </c>
      <c r="G39" s="20">
        <v>47</v>
      </c>
      <c r="H39" s="20">
        <v>204</v>
      </c>
      <c r="I39" s="20">
        <v>162</v>
      </c>
      <c r="J39" s="20">
        <v>0</v>
      </c>
      <c r="K39" s="20">
        <v>0</v>
      </c>
      <c r="L39" s="20">
        <v>0</v>
      </c>
      <c r="M39" s="20">
        <v>0</v>
      </c>
      <c r="N39" s="20">
        <v>0</v>
      </c>
      <c r="O39" s="20">
        <v>0</v>
      </c>
      <c r="P39" s="20"/>
      <c r="Q39" s="20"/>
      <c r="R39" s="20"/>
    </row>
    <row r="40" spans="1:22" s="35" customFormat="1">
      <c r="A40" s="34" t="s">
        <v>71</v>
      </c>
      <c r="B40" s="20">
        <f>2310.319+22.712+1.684</f>
        <v>2334.7150000000001</v>
      </c>
      <c r="C40" s="20">
        <f>2316.2+24.7</f>
        <v>2340.8999999999996</v>
      </c>
      <c r="D40" s="20">
        <f>2322.046+22.767+1.638</f>
        <v>2346.4509999999996</v>
      </c>
      <c r="E40" s="20">
        <f>2327.91+22.189+1.607</f>
        <v>2351.7059999999997</v>
      </c>
      <c r="F40" s="20">
        <f>2333.774+21.658+1.72</f>
        <v>2357.1519999999996</v>
      </c>
      <c r="G40" s="20">
        <f>2140+200</f>
        <v>2340</v>
      </c>
      <c r="H40" s="20">
        <f>2145+23.458+1.786</f>
        <v>2170.2440000000001</v>
      </c>
      <c r="I40" s="20">
        <f>2145+24.142+1.837</f>
        <v>2170.9789999999998</v>
      </c>
      <c r="J40" s="20">
        <f>2145+33.7</f>
        <v>2178.6999999999998</v>
      </c>
      <c r="K40" s="20">
        <f>2145+33.7</f>
        <v>2178.6999999999998</v>
      </c>
      <c r="L40" s="20">
        <f>2145+33.7</f>
        <v>2178.6999999999998</v>
      </c>
      <c r="M40" s="20">
        <v>1840.4370000000001</v>
      </c>
      <c r="N40" s="20">
        <v>1822.011</v>
      </c>
      <c r="O40" s="20">
        <v>1826.9839999999999</v>
      </c>
      <c r="P40" s="20"/>
      <c r="Q40" s="20"/>
      <c r="R40" s="20"/>
    </row>
    <row r="41" spans="1:22" s="35" customFormat="1">
      <c r="A41" s="34" t="s">
        <v>72</v>
      </c>
      <c r="B41" s="20">
        <f>B39+B40+675.468</f>
        <v>3010.183</v>
      </c>
      <c r="C41" s="20">
        <f>C39+C40+675.5</f>
        <v>3016.3999999999996</v>
      </c>
      <c r="D41" s="20">
        <f>D39+D40+666.525</f>
        <v>3142.9759999999997</v>
      </c>
      <c r="E41" s="20">
        <f>E39+E40+657.796</f>
        <v>3189.5019999999995</v>
      </c>
      <c r="F41" s="20">
        <f t="shared" ref="F41:L41" si="23">F39+F40+640</f>
        <v>3204.6519999999996</v>
      </c>
      <c r="G41" s="20">
        <f t="shared" si="23"/>
        <v>3027</v>
      </c>
      <c r="H41" s="20">
        <f t="shared" si="23"/>
        <v>3014.2440000000001</v>
      </c>
      <c r="I41" s="20">
        <f t="shared" si="23"/>
        <v>2972.9789999999998</v>
      </c>
      <c r="J41" s="20">
        <f t="shared" si="23"/>
        <v>2818.7</v>
      </c>
      <c r="K41" s="20">
        <f t="shared" si="23"/>
        <v>2818.7</v>
      </c>
      <c r="L41" s="20">
        <f t="shared" si="23"/>
        <v>2818.7</v>
      </c>
      <c r="M41" s="20">
        <v>2331.87</v>
      </c>
      <c r="N41" s="20">
        <v>2313.59</v>
      </c>
      <c r="O41" s="20">
        <v>2318.6179999999999</v>
      </c>
      <c r="P41" s="20"/>
      <c r="Q41" s="20"/>
      <c r="R41" s="20"/>
    </row>
    <row r="42" spans="1:22" s="35" customFormat="1">
      <c r="A42" s="34" t="s">
        <v>73</v>
      </c>
      <c r="B42" s="36">
        <v>2730</v>
      </c>
      <c r="C42" s="36">
        <v>2730</v>
      </c>
      <c r="D42" s="36">
        <v>2730</v>
      </c>
      <c r="E42" s="36">
        <v>2730</v>
      </c>
      <c r="F42" s="36">
        <v>2730</v>
      </c>
      <c r="G42" s="36">
        <v>2730</v>
      </c>
      <c r="H42" s="36">
        <v>2715</v>
      </c>
      <c r="I42" s="36">
        <v>2715</v>
      </c>
      <c r="J42" s="36">
        <v>2715</v>
      </c>
      <c r="K42" s="36">
        <v>2715</v>
      </c>
      <c r="L42" s="36">
        <v>2715</v>
      </c>
      <c r="M42" s="36"/>
      <c r="N42" s="36"/>
      <c r="O42" s="36"/>
      <c r="P42" s="36"/>
      <c r="Q42" s="36"/>
      <c r="R42" s="36"/>
    </row>
    <row r="43" spans="1:22">
      <c r="B43" s="35"/>
      <c r="C43" s="35"/>
      <c r="D43" s="35"/>
      <c r="E43" s="35"/>
      <c r="F43" s="35"/>
      <c r="G43" s="35"/>
      <c r="H43" s="35"/>
      <c r="I43" s="35"/>
      <c r="J43" s="35"/>
      <c r="K43" s="35"/>
      <c r="L43" s="35"/>
      <c r="M43" s="35"/>
      <c r="N43" s="35"/>
      <c r="T43" s="35"/>
    </row>
    <row r="44" spans="1:22">
      <c r="A44" s="19" t="s">
        <v>74</v>
      </c>
      <c r="B44" s="28">
        <v>95.475999999999999</v>
      </c>
      <c r="C44" s="28">
        <v>117.3</v>
      </c>
      <c r="D44" s="28">
        <v>116.474</v>
      </c>
      <c r="E44" s="28">
        <v>112.483</v>
      </c>
      <c r="F44" s="28">
        <v>90.475999999999999</v>
      </c>
      <c r="G44" s="28">
        <v>36</v>
      </c>
      <c r="H44" s="28">
        <v>18.901</v>
      </c>
      <c r="I44" s="28">
        <v>35.444000000000003</v>
      </c>
      <c r="J44" s="28">
        <v>28.4</v>
      </c>
      <c r="K44" s="28">
        <v>28.4</v>
      </c>
      <c r="L44" s="28">
        <v>38</v>
      </c>
      <c r="M44" s="28">
        <v>43.414999999999999</v>
      </c>
      <c r="N44" s="28">
        <v>53.368000000000002</v>
      </c>
      <c r="O44" s="28">
        <v>142.995</v>
      </c>
      <c r="P44" s="28"/>
      <c r="Q44" s="57"/>
      <c r="R44" s="57"/>
    </row>
    <row r="45" spans="1:22">
      <c r="B45" s="33"/>
      <c r="C45" s="33"/>
      <c r="D45" s="33"/>
      <c r="E45" s="33"/>
      <c r="F45" s="33"/>
      <c r="G45" s="33"/>
      <c r="H45" s="33"/>
      <c r="I45" s="33"/>
      <c r="J45" s="33"/>
      <c r="K45" s="33"/>
    </row>
    <row r="46" spans="1:22">
      <c r="A46" s="14" t="s">
        <v>75</v>
      </c>
      <c r="B46" s="33">
        <f t="shared" ref="B46:K46" si="24">SUM(B12:E12)</f>
        <v>2846.1710000000003</v>
      </c>
      <c r="C46" s="33">
        <f t="shared" si="24"/>
        <v>3078.393</v>
      </c>
      <c r="D46" s="33">
        <f t="shared" si="24"/>
        <v>3321.4869999999996</v>
      </c>
      <c r="E46" s="33">
        <f t="shared" si="24"/>
        <v>3608.009</v>
      </c>
      <c r="F46" s="33">
        <f t="shared" si="24"/>
        <v>3847.5940000000001</v>
      </c>
      <c r="G46" s="33">
        <f t="shared" si="24"/>
        <v>3753.3929999999996</v>
      </c>
      <c r="H46" s="33">
        <f t="shared" si="24"/>
        <v>3637.33</v>
      </c>
      <c r="I46" s="33">
        <f t="shared" si="24"/>
        <v>3415.683</v>
      </c>
      <c r="J46" s="33">
        <f t="shared" si="24"/>
        <v>3234.8389999999999</v>
      </c>
      <c r="K46" s="33">
        <f t="shared" si="24"/>
        <v>3011.7049999999999</v>
      </c>
      <c r="L46" s="51">
        <v>2870</v>
      </c>
      <c r="M46" s="33">
        <f>SUM(M12:P12)</f>
        <v>2599.9490000000001</v>
      </c>
      <c r="N46" s="33">
        <f>SUM(N12:Q12)</f>
        <v>2344.2759999999998</v>
      </c>
      <c r="O46" s="33">
        <f>SUM(O12:R12)</f>
        <v>2156.297</v>
      </c>
      <c r="P46" s="33"/>
    </row>
    <row r="47" spans="1:22">
      <c r="A47" s="14" t="s">
        <v>76</v>
      </c>
      <c r="B47" s="58">
        <f t="shared" ref="B47" si="25">B27</f>
        <v>312.5</v>
      </c>
      <c r="C47" s="58">
        <f t="shared" ref="C47:D47" si="26">C27</f>
        <v>354.29999999999995</v>
      </c>
      <c r="D47" s="58">
        <f t="shared" si="26"/>
        <v>406.9</v>
      </c>
      <c r="E47" s="58">
        <f t="shared" ref="E47:I47" si="27">E27</f>
        <v>454.2</v>
      </c>
      <c r="F47" s="58">
        <f t="shared" si="27"/>
        <v>482.2</v>
      </c>
      <c r="G47" s="58">
        <f t="shared" si="27"/>
        <v>483.5</v>
      </c>
      <c r="H47" s="58">
        <f t="shared" si="27"/>
        <v>477.6</v>
      </c>
      <c r="I47" s="58">
        <f t="shared" si="27"/>
        <v>478.7</v>
      </c>
      <c r="J47" s="58">
        <f t="shared" ref="J47:O47" si="28">J27</f>
        <v>471.7</v>
      </c>
      <c r="K47" s="58">
        <f t="shared" si="28"/>
        <v>457</v>
      </c>
      <c r="L47" s="58">
        <f t="shared" si="28"/>
        <v>446</v>
      </c>
      <c r="M47" s="33">
        <f t="shared" si="28"/>
        <v>346.6</v>
      </c>
      <c r="N47" s="33">
        <f t="shared" si="28"/>
        <v>312.5</v>
      </c>
      <c r="O47" s="33">
        <f t="shared" si="28"/>
        <v>277.60000000000002</v>
      </c>
      <c r="P47" s="33"/>
    </row>
    <row r="48" spans="1:22">
      <c r="A48" s="14" t="s">
        <v>77</v>
      </c>
      <c r="B48" s="33">
        <f t="shared" ref="B48:O48" si="29">SUM(B37:E37)</f>
        <v>214.51399999999998</v>
      </c>
      <c r="C48" s="33">
        <f t="shared" si="29"/>
        <v>131.43599999999998</v>
      </c>
      <c r="D48" s="33">
        <f t="shared" si="29"/>
        <v>50.738</v>
      </c>
      <c r="E48" s="33">
        <f t="shared" si="29"/>
        <v>-57.926000000000002</v>
      </c>
      <c r="F48" s="33">
        <f t="shared" si="29"/>
        <v>-228.00700000000001</v>
      </c>
      <c r="G48" s="33">
        <f t="shared" si="29"/>
        <v>-152.41400000000002</v>
      </c>
      <c r="H48" s="33">
        <f t="shared" si="29"/>
        <v>-121.34200000000003</v>
      </c>
      <c r="I48" s="33">
        <f t="shared" si="29"/>
        <v>-69.965999999999994</v>
      </c>
      <c r="J48" s="33">
        <f t="shared" si="29"/>
        <v>33.815999999999995</v>
      </c>
      <c r="K48" s="33">
        <f t="shared" si="29"/>
        <v>-26.122999999999998</v>
      </c>
      <c r="L48" s="33">
        <f t="shared" si="29"/>
        <v>-190.59399999999999</v>
      </c>
      <c r="M48" s="33">
        <f t="shared" si="29"/>
        <v>-147.69999999999999</v>
      </c>
      <c r="N48" s="33">
        <f t="shared" si="29"/>
        <v>-168.27399999999997</v>
      </c>
      <c r="O48" s="33">
        <f t="shared" si="29"/>
        <v>-104.699</v>
      </c>
      <c r="P48" s="33"/>
    </row>
    <row r="50" spans="1:18" s="37" customFormat="1">
      <c r="A50" s="37" t="s">
        <v>78</v>
      </c>
      <c r="B50" s="37">
        <f t="shared" ref="B50:C50" si="30">+SUM(B39:B40)/B47</f>
        <v>7.4710880000000008</v>
      </c>
      <c r="C50" s="37">
        <f t="shared" si="30"/>
        <v>6.6071126164267566</v>
      </c>
      <c r="D50" s="37">
        <f t="shared" ref="D50:E50" si="31">+SUM(D39:D40)/D47</f>
        <v>6.0861415581223879</v>
      </c>
      <c r="E50" s="37">
        <f t="shared" si="31"/>
        <v>5.573989431968295</v>
      </c>
      <c r="F50" s="37">
        <f t="shared" ref="F50:G50" si="32">+SUM(F39:F40)/F47</f>
        <v>5.3186478639568637</v>
      </c>
      <c r="G50" s="37">
        <f t="shared" si="32"/>
        <v>4.9369183040330924</v>
      </c>
      <c r="H50" s="37">
        <f t="shared" ref="H50:I50" si="33">+SUM(H39:H40)/H47</f>
        <v>4.9711976549413732</v>
      </c>
      <c r="I50" s="37">
        <f t="shared" si="33"/>
        <v>4.8735721746396488</v>
      </c>
      <c r="J50" s="37">
        <f t="shared" ref="J50:O50" si="34">+SUM(J39:J40)/J47</f>
        <v>4.6188255246979013</v>
      </c>
      <c r="K50" s="37">
        <f t="shared" si="34"/>
        <v>4.7673960612691459</v>
      </c>
      <c r="L50" s="37">
        <f t="shared" si="34"/>
        <v>4.8849775784753362</v>
      </c>
      <c r="M50" s="37">
        <f t="shared" si="34"/>
        <v>5.3099740334679746</v>
      </c>
      <c r="N50" s="37">
        <f t="shared" si="34"/>
        <v>5.8304352000000002</v>
      </c>
      <c r="O50" s="37">
        <f t="shared" si="34"/>
        <v>6.5813544668587891</v>
      </c>
    </row>
    <row r="51" spans="1:18" s="37" customFormat="1">
      <c r="A51" s="37" t="s">
        <v>79</v>
      </c>
      <c r="B51" s="37">
        <f t="shared" ref="B51:C51" si="35">+B41/B47</f>
        <v>9.6325856000000005</v>
      </c>
      <c r="C51" s="37">
        <f t="shared" si="35"/>
        <v>8.5136889641546709</v>
      </c>
      <c r="D51" s="37">
        <f t="shared" ref="D51:E51" si="36">+D41/D47</f>
        <v>7.7241975915458339</v>
      </c>
      <c r="E51" s="37">
        <f t="shared" si="36"/>
        <v>7.022241303390576</v>
      </c>
      <c r="F51" s="37">
        <f t="shared" ref="F51:G51" si="37">+F41/F47</f>
        <v>6.6458979676482777</v>
      </c>
      <c r="G51" s="37">
        <f t="shared" si="37"/>
        <v>6.2605997931747677</v>
      </c>
      <c r="H51" s="37">
        <f t="shared" ref="H51:I51" si="38">+H41/H47</f>
        <v>6.311231155778894</v>
      </c>
      <c r="I51" s="37">
        <f t="shared" si="38"/>
        <v>6.2105264257363695</v>
      </c>
      <c r="J51" s="37">
        <f t="shared" ref="J51:O51" si="39">+J41/J47</f>
        <v>5.9756200975196094</v>
      </c>
      <c r="K51" s="37">
        <f t="shared" si="39"/>
        <v>6.1678336980306341</v>
      </c>
      <c r="L51" s="37">
        <f t="shared" si="39"/>
        <v>6.3199551569506722</v>
      </c>
      <c r="M51" s="37">
        <f t="shared" si="39"/>
        <v>6.727841892671667</v>
      </c>
      <c r="N51" s="37">
        <f t="shared" si="39"/>
        <v>7.4034880000000003</v>
      </c>
      <c r="O51" s="37">
        <f t="shared" si="39"/>
        <v>8.3523703170028814</v>
      </c>
    </row>
    <row r="52" spans="1:18" s="37" customFormat="1">
      <c r="A52" s="37" t="s">
        <v>80</v>
      </c>
      <c r="B52" s="37">
        <f t="shared" ref="B52:C52" si="40">+(B41-B44)/B47</f>
        <v>9.3270623999999991</v>
      </c>
      <c r="C52" s="37">
        <f t="shared" si="40"/>
        <v>8.1826136042901485</v>
      </c>
      <c r="D52" s="37">
        <f t="shared" ref="D52:E52" si="41">+(D41-D44)/D47</f>
        <v>7.4379503563529115</v>
      </c>
      <c r="E52" s="37">
        <f t="shared" si="41"/>
        <v>6.774590488771465</v>
      </c>
      <c r="F52" s="37">
        <f t="shared" ref="F52:G52" si="42">+(F41-F44)/F47</f>
        <v>6.4582662795520518</v>
      </c>
      <c r="G52" s="37">
        <f t="shared" si="42"/>
        <v>6.1861427094105483</v>
      </c>
      <c r="H52" s="37">
        <f t="shared" ref="H52:I52" si="43">+(H41-H44)/H47</f>
        <v>6.2716561976549414</v>
      </c>
      <c r="I52" s="37">
        <f t="shared" si="43"/>
        <v>6.1364842281178191</v>
      </c>
      <c r="J52" s="37">
        <f t="shared" ref="J52:O52" si="44">+(J41-J44)/J47</f>
        <v>5.9154123383506461</v>
      </c>
      <c r="K52" s="37">
        <f t="shared" si="44"/>
        <v>6.1056892778993426</v>
      </c>
      <c r="L52" s="37">
        <f t="shared" si="44"/>
        <v>6.2347533632286991</v>
      </c>
      <c r="M52" s="37">
        <f t="shared" si="44"/>
        <v>6.6025822273514132</v>
      </c>
      <c r="N52" s="37">
        <f t="shared" si="44"/>
        <v>7.2327104000000011</v>
      </c>
      <c r="O52" s="37">
        <f t="shared" si="44"/>
        <v>7.837258645533141</v>
      </c>
    </row>
    <row r="53" spans="1:18" s="38" customFormat="1">
      <c r="A53" s="38" t="s">
        <v>81</v>
      </c>
      <c r="B53" s="38">
        <f t="shared" ref="B53:C53" si="45">+B48/B41</f>
        <v>7.126277704710976E-2</v>
      </c>
      <c r="C53" s="38">
        <f t="shared" si="45"/>
        <v>4.357379657870309E-2</v>
      </c>
      <c r="D53" s="38">
        <f t="shared" ref="D53:E53" si="46">+D48/D41</f>
        <v>1.6143298580708221E-2</v>
      </c>
      <c r="E53" s="38">
        <f t="shared" si="46"/>
        <v>-1.816145592634838E-2</v>
      </c>
      <c r="F53" s="38">
        <f t="shared" ref="F53:G53" si="47">+F48/F41</f>
        <v>-7.1148754997422514E-2</v>
      </c>
      <c r="G53" s="38">
        <f t="shared" si="47"/>
        <v>-5.0351503138420885E-2</v>
      </c>
      <c r="H53" s="38">
        <f t="shared" ref="H53:I53" si="48">+H48/H41</f>
        <v>-4.0256196910402747E-2</v>
      </c>
      <c r="I53" s="38">
        <f t="shared" si="48"/>
        <v>-2.3533970472041678E-2</v>
      </c>
      <c r="J53" s="38">
        <f t="shared" ref="J53:O53" si="49">+J48/J41</f>
        <v>1.1997019902792066E-2</v>
      </c>
      <c r="K53" s="38">
        <f t="shared" si="49"/>
        <v>-9.2677475431936704E-3</v>
      </c>
      <c r="L53" s="38">
        <f t="shared" si="49"/>
        <v>-6.7617696101039487E-2</v>
      </c>
      <c r="M53" s="38">
        <f t="shared" si="49"/>
        <v>-6.3339723054887276E-2</v>
      </c>
      <c r="N53" s="38">
        <f t="shared" si="49"/>
        <v>-7.27328524068655E-2</v>
      </c>
      <c r="O53" s="38">
        <f t="shared" si="49"/>
        <v>-4.5155778140254239E-2</v>
      </c>
    </row>
    <row r="54" spans="1:18" s="38" customFormat="1">
      <c r="A54" s="39" t="s">
        <v>82</v>
      </c>
      <c r="B54" s="40"/>
      <c r="C54" s="40"/>
      <c r="D54" s="40"/>
      <c r="E54" s="40"/>
      <c r="F54" s="40"/>
      <c r="G54" s="40"/>
      <c r="H54" s="40"/>
      <c r="I54" s="40"/>
      <c r="J54" s="40"/>
      <c r="K54" s="40"/>
      <c r="L54" s="40"/>
      <c r="M54" s="40"/>
      <c r="N54" s="40"/>
      <c r="O54" s="40"/>
      <c r="P54" s="40"/>
      <c r="Q54" s="39"/>
      <c r="R54" s="39"/>
    </row>
    <row r="55" spans="1:18" s="38" customFormat="1">
      <c r="A55" s="38" t="s">
        <v>83</v>
      </c>
      <c r="B55" s="41">
        <f t="shared" ref="B55" si="50">IF(B42=0,IF(B54="","","*"&amp;TEXT(B54,"0.0x")),(B41+B42-B44)/B47)</f>
        <v>18.0630624</v>
      </c>
      <c r="C55" s="41">
        <f t="shared" ref="C55:D55" si="51">IF(C42=0,IF(C54="","","*"&amp;TEXT(C54,"0.0x")),(C41+C42-C44)/C47)</f>
        <v>15.887948066610218</v>
      </c>
      <c r="D55" s="41">
        <f t="shared" si="51"/>
        <v>14.147215532071762</v>
      </c>
      <c r="E55" s="41">
        <f t="shared" ref="E55:F55" si="52">IF(E42=0,IF(E54="","","*"&amp;TEXT(E54,"0.0x")),(E41+E42-E44)/E47)</f>
        <v>12.78515852047556</v>
      </c>
      <c r="F55" s="41">
        <f t="shared" si="52"/>
        <v>12.119817503110744</v>
      </c>
      <c r="G55" s="41">
        <f t="shared" ref="G55:L55" si="53">IF(G42=0,IF(G54="","","*"&amp;TEXT(G54,"0.0x")),(G41+G42-G44)/G47)</f>
        <v>11.832471561530507</v>
      </c>
      <c r="H55" s="41">
        <f t="shared" si="53"/>
        <v>11.956329564489113</v>
      </c>
      <c r="I55" s="41">
        <f t="shared" si="53"/>
        <v>11.808094840192185</v>
      </c>
      <c r="J55" s="41">
        <f t="shared" si="53"/>
        <v>11.67118931524274</v>
      </c>
      <c r="K55" s="41">
        <f t="shared" si="53"/>
        <v>12.046608315098469</v>
      </c>
      <c r="L55" s="41">
        <f t="shared" si="53"/>
        <v>12.322197309417041</v>
      </c>
      <c r="M55" s="41"/>
      <c r="N55" s="41"/>
      <c r="O55" s="41"/>
      <c r="P55" s="41"/>
      <c r="Q55" s="41" t="str">
        <f>IF(Q42=0,IF(Q54="","",CONCATENATE("* ",Q54,"x")),(Q41+Q42-Q44)/Q47)</f>
        <v/>
      </c>
      <c r="R55" s="41" t="str">
        <f>IF(R42=0,IF(R54="","",CONCATENATE("* ",R54,"x")),(R41+R42-R44)/R47)</f>
        <v/>
      </c>
    </row>
    <row r="56" spans="1:18">
      <c r="P56" s="42"/>
    </row>
    <row r="57" spans="1:18" ht="80.25" customHeight="1">
      <c r="A57" s="43" t="s">
        <v>84</v>
      </c>
      <c r="B57" s="44" t="s">
        <v>289</v>
      </c>
      <c r="C57" s="44" t="s">
        <v>289</v>
      </c>
      <c r="D57" s="44" t="s">
        <v>289</v>
      </c>
      <c r="E57" s="44" t="s">
        <v>289</v>
      </c>
      <c r="F57" s="44" t="s">
        <v>289</v>
      </c>
      <c r="G57" s="44" t="s">
        <v>289</v>
      </c>
      <c r="H57" s="44" t="s">
        <v>289</v>
      </c>
      <c r="I57" s="44" t="s">
        <v>289</v>
      </c>
      <c r="J57" s="44" t="s">
        <v>422</v>
      </c>
      <c r="K57" s="44" t="s">
        <v>422</v>
      </c>
      <c r="L57" s="44" t="s">
        <v>331</v>
      </c>
      <c r="M57" s="44" t="s">
        <v>90</v>
      </c>
      <c r="N57" s="44" t="s">
        <v>90</v>
      </c>
      <c r="O57" s="44" t="s">
        <v>90</v>
      </c>
      <c r="P57" s="44"/>
      <c r="Q57" s="44"/>
      <c r="R57" s="44"/>
    </row>
    <row r="58" spans="1:18">
      <c r="A58" s="45"/>
      <c r="B58" s="42"/>
      <c r="C58" s="42"/>
      <c r="D58" s="42"/>
      <c r="E58" s="42"/>
      <c r="F58" s="42"/>
      <c r="G58" s="42"/>
      <c r="H58" s="42"/>
      <c r="I58" s="42"/>
      <c r="J58" s="42"/>
      <c r="K58" s="42"/>
      <c r="L58" s="42"/>
    </row>
    <row r="59" spans="1:18">
      <c r="A59" s="45"/>
    </row>
  </sheetData>
  <pageMargins left="0.7" right="0.7" top="0.75" bottom="0.75" header="0.3" footer="0.3"/>
  <pageSetup orientation="portrait" r:id="rId1"/>
  <ignoredErrors>
    <ignoredError sqref="M50:O51 M46:O47" formulaRange="1"/>
  </ignoredErrors>
  <legacyDrawing r:id="rId2"/>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2:W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9" width="10.6640625" style="14" customWidth="1"/>
    <col min="20" max="16384" width="9.109375" style="14"/>
  </cols>
  <sheetData>
    <row r="2" spans="1:19">
      <c r="A2" s="13" t="s">
        <v>44</v>
      </c>
      <c r="B2" s="14" t="s">
        <v>332</v>
      </c>
    </row>
    <row r="3" spans="1:19" s="16" customFormat="1">
      <c r="A3" s="15" t="s">
        <v>45</v>
      </c>
      <c r="B3" s="16" t="s">
        <v>333</v>
      </c>
    </row>
    <row r="4" spans="1:19">
      <c r="A4" s="13" t="s">
        <v>2</v>
      </c>
      <c r="B4" s="14" t="s">
        <v>4</v>
      </c>
    </row>
    <row r="5" spans="1:19">
      <c r="A5" s="13" t="s">
        <v>46</v>
      </c>
    </row>
    <row r="6" spans="1:19">
      <c r="A6" s="13" t="s">
        <v>47</v>
      </c>
      <c r="B6" s="14">
        <v>3</v>
      </c>
    </row>
    <row r="7" spans="1:19">
      <c r="A7" s="13" t="s">
        <v>48</v>
      </c>
      <c r="B7" s="14" t="s">
        <v>243</v>
      </c>
    </row>
    <row r="8" spans="1:19">
      <c r="A8" s="13" t="s">
        <v>347</v>
      </c>
      <c r="B8" s="14" t="s">
        <v>353</v>
      </c>
    </row>
    <row r="9" spans="1:19">
      <c r="A9" s="17"/>
    </row>
    <row r="10" spans="1:19">
      <c r="A10" s="17" t="s">
        <v>49</v>
      </c>
      <c r="B10" s="18">
        <v>44286</v>
      </c>
      <c r="C10" s="18">
        <v>44196</v>
      </c>
      <c r="D10" s="18">
        <v>44104</v>
      </c>
      <c r="E10" s="18">
        <v>44012</v>
      </c>
      <c r="F10" s="18">
        <v>43921</v>
      </c>
      <c r="G10" s="18">
        <v>43830</v>
      </c>
      <c r="H10" s="18">
        <v>43738</v>
      </c>
      <c r="I10" s="18">
        <v>43646</v>
      </c>
      <c r="J10" s="18">
        <v>43555</v>
      </c>
      <c r="K10" s="18">
        <v>43465</v>
      </c>
      <c r="L10" s="18">
        <v>43373</v>
      </c>
      <c r="M10" s="18">
        <f>EOMONTH(L10,-3)</f>
        <v>43281</v>
      </c>
      <c r="N10" s="18">
        <f t="shared" ref="N10:S10" si="0">EOMONTH(M10,-3)</f>
        <v>43190</v>
      </c>
      <c r="O10" s="18">
        <f t="shared" si="0"/>
        <v>43100</v>
      </c>
      <c r="P10" s="18">
        <f t="shared" si="0"/>
        <v>43008</v>
      </c>
      <c r="Q10" s="18">
        <f t="shared" si="0"/>
        <v>42916</v>
      </c>
      <c r="R10" s="18">
        <f t="shared" si="0"/>
        <v>42825</v>
      </c>
      <c r="S10" s="18">
        <f t="shared" si="0"/>
        <v>42735</v>
      </c>
    </row>
    <row r="12" spans="1:19">
      <c r="A12" s="19" t="s">
        <v>50</v>
      </c>
      <c r="B12" s="20">
        <v>990</v>
      </c>
      <c r="C12" s="20">
        <v>948</v>
      </c>
      <c r="D12" s="20">
        <v>874.2</v>
      </c>
      <c r="E12" s="20">
        <v>700</v>
      </c>
      <c r="F12" s="20">
        <v>1070.1099999999999</v>
      </c>
      <c r="G12" s="20">
        <v>1021</v>
      </c>
      <c r="H12" s="20">
        <v>991.3</v>
      </c>
      <c r="I12" s="20">
        <v>976</v>
      </c>
      <c r="J12" s="20">
        <v>976</v>
      </c>
      <c r="K12" s="20">
        <v>907</v>
      </c>
      <c r="L12" s="20">
        <v>574.93799999999999</v>
      </c>
      <c r="M12" s="20">
        <v>562.05200000000002</v>
      </c>
      <c r="N12" s="20">
        <v>547.41</v>
      </c>
      <c r="O12" s="20">
        <v>516.20900000000006</v>
      </c>
      <c r="P12" s="20">
        <v>479.41</v>
      </c>
      <c r="Q12" s="20">
        <v>480.68400000000003</v>
      </c>
      <c r="R12" s="20">
        <v>465.14499999999998</v>
      </c>
      <c r="S12" s="20">
        <v>439.71699999999987</v>
      </c>
    </row>
    <row r="13" spans="1:19" s="21" customFormat="1">
      <c r="A13" s="21" t="s">
        <v>51</v>
      </c>
      <c r="B13" s="21">
        <f t="shared" ref="B13:L13" si="1">+B12/F12-1</f>
        <v>-7.4861462840268622E-2</v>
      </c>
      <c r="C13" s="21">
        <f t="shared" si="1"/>
        <v>-7.1498530852105779E-2</v>
      </c>
      <c r="D13" s="21">
        <f t="shared" si="1"/>
        <v>-0.11812771108645204</v>
      </c>
      <c r="E13" s="21">
        <f t="shared" si="1"/>
        <v>-0.28278688524590168</v>
      </c>
      <c r="F13" s="21">
        <f t="shared" si="1"/>
        <v>9.6424180327868703E-2</v>
      </c>
      <c r="G13" s="21">
        <f t="shared" si="1"/>
        <v>0.12568908489525921</v>
      </c>
      <c r="H13" s="21">
        <f t="shared" si="1"/>
        <v>0.7241859122201002</v>
      </c>
      <c r="I13" s="21">
        <f t="shared" si="1"/>
        <v>0.73649413221552451</v>
      </c>
      <c r="J13" s="21">
        <f t="shared" si="1"/>
        <v>0.78294148809850039</v>
      </c>
      <c r="K13" s="21">
        <f t="shared" si="1"/>
        <v>0.75704026857338769</v>
      </c>
      <c r="L13" s="21">
        <f t="shared" si="1"/>
        <v>0.19926159237395957</v>
      </c>
      <c r="M13" s="21">
        <f t="shared" ref="M13:O13" si="2">+M12/Q12-1</f>
        <v>0.16927544915162551</v>
      </c>
      <c r="N13" s="21">
        <f t="shared" si="2"/>
        <v>0.1768588289673112</v>
      </c>
      <c r="O13" s="21">
        <f t="shared" si="2"/>
        <v>0.17395734074416103</v>
      </c>
    </row>
    <row r="14" spans="1:19" s="24" customFormat="1">
      <c r="A14" s="22" t="s">
        <v>52</v>
      </c>
      <c r="B14" s="66" t="s">
        <v>3</v>
      </c>
      <c r="C14" s="66" t="s">
        <v>3</v>
      </c>
      <c r="D14" s="66" t="s">
        <v>3</v>
      </c>
      <c r="E14" s="66" t="s">
        <v>3</v>
      </c>
      <c r="F14" s="66" t="s">
        <v>3</v>
      </c>
      <c r="G14" s="66" t="s">
        <v>3</v>
      </c>
      <c r="H14" s="66">
        <v>2.8000000000000001E-2</v>
      </c>
      <c r="I14" s="66">
        <v>3.5000000000000003E-2</v>
      </c>
      <c r="J14" s="66">
        <v>5.1999999999999998E-2</v>
      </c>
      <c r="K14" s="23" t="s">
        <v>3</v>
      </c>
      <c r="L14" s="23" t="s">
        <v>3</v>
      </c>
      <c r="M14" s="23" t="s">
        <v>3</v>
      </c>
      <c r="N14" s="23" t="s">
        <v>3</v>
      </c>
      <c r="O14" s="23" t="s">
        <v>3</v>
      </c>
      <c r="P14" s="22"/>
      <c r="Q14" s="22"/>
      <c r="R14" s="22"/>
      <c r="S14" s="22"/>
    </row>
    <row r="15" spans="1:19">
      <c r="O15" s="33"/>
    </row>
    <row r="16" spans="1:19" s="17" customFormat="1">
      <c r="A16" s="25" t="s">
        <v>53</v>
      </c>
      <c r="B16" s="26">
        <v>101</v>
      </c>
      <c r="C16" s="26">
        <v>103</v>
      </c>
      <c r="D16" s="26">
        <v>102</v>
      </c>
      <c r="E16" s="26">
        <v>39.700000000000003</v>
      </c>
      <c r="F16" s="26">
        <v>122.8</v>
      </c>
      <c r="G16" s="26">
        <v>105</v>
      </c>
      <c r="H16" s="26">
        <v>108.7</v>
      </c>
      <c r="I16" s="26">
        <v>117.8</v>
      </c>
      <c r="J16" s="26">
        <v>111.5</v>
      </c>
      <c r="K16" s="26">
        <v>63.7</v>
      </c>
      <c r="L16" s="26">
        <v>41.576000000000008</v>
      </c>
      <c r="M16" s="26">
        <v>44.877000000000017</v>
      </c>
      <c r="N16" s="26">
        <v>38.90199999999998</v>
      </c>
      <c r="O16" s="26">
        <v>42.978000000000151</v>
      </c>
      <c r="P16" s="26">
        <v>33.503000000000007</v>
      </c>
      <c r="Q16" s="26">
        <v>37.916000000000075</v>
      </c>
      <c r="R16" s="26">
        <v>-1.6680000000000366</v>
      </c>
      <c r="S16" s="26">
        <v>36.627000000000052</v>
      </c>
    </row>
    <row r="17" spans="1:23" s="21" customFormat="1">
      <c r="A17" s="21" t="s">
        <v>54</v>
      </c>
      <c r="B17" s="21">
        <f t="shared" ref="B17" si="3">+B16/B12</f>
        <v>0.10202020202020202</v>
      </c>
      <c r="C17" s="21">
        <f t="shared" ref="C17:D17" si="4">+C16/C12</f>
        <v>0.10864978902953587</v>
      </c>
      <c r="D17" s="21">
        <f t="shared" si="4"/>
        <v>0.11667810569663692</v>
      </c>
      <c r="E17" s="21">
        <f t="shared" ref="E17:F17" si="5">+E16/E12</f>
        <v>5.6714285714285717E-2</v>
      </c>
      <c r="F17" s="21">
        <f t="shared" si="5"/>
        <v>0.11475455794264142</v>
      </c>
      <c r="G17" s="21">
        <f t="shared" ref="G17:L17" si="6">+G16/G12</f>
        <v>0.10284035259549461</v>
      </c>
      <c r="H17" s="21">
        <f t="shared" si="6"/>
        <v>0.1096539897104812</v>
      </c>
      <c r="I17" s="21">
        <f t="shared" si="6"/>
        <v>0.12069672131147541</v>
      </c>
      <c r="J17" s="21">
        <f t="shared" si="6"/>
        <v>0.11424180327868852</v>
      </c>
      <c r="K17" s="21">
        <f t="shared" si="6"/>
        <v>7.0231532524807058E-2</v>
      </c>
      <c r="L17" s="21">
        <f t="shared" si="6"/>
        <v>7.2313884279696261E-2</v>
      </c>
      <c r="M17" s="21">
        <f t="shared" ref="M17:S17" si="7">+M16/M12</f>
        <v>7.9844925380569795E-2</v>
      </c>
      <c r="N17" s="21">
        <f t="shared" si="7"/>
        <v>7.1065563288942438E-2</v>
      </c>
      <c r="O17" s="21">
        <f t="shared" si="7"/>
        <v>8.3256975372378528E-2</v>
      </c>
      <c r="P17" s="21">
        <f t="shared" si="7"/>
        <v>6.9883815523247336E-2</v>
      </c>
      <c r="Q17" s="21">
        <f t="shared" si="7"/>
        <v>7.88792637158717E-2</v>
      </c>
      <c r="R17" s="21">
        <f t="shared" si="7"/>
        <v>-3.5859785658236393E-3</v>
      </c>
      <c r="S17" s="21">
        <f t="shared" si="7"/>
        <v>8.3296756777654857E-2</v>
      </c>
    </row>
    <row r="18" spans="1:23" s="24" customFormat="1"/>
    <row r="19" spans="1:23" s="24" customFormat="1">
      <c r="A19" s="19" t="s">
        <v>55</v>
      </c>
      <c r="B19" s="20">
        <v>0</v>
      </c>
      <c r="C19" s="20">
        <v>0</v>
      </c>
      <c r="D19" s="20">
        <v>0</v>
      </c>
      <c r="E19" s="20">
        <v>0</v>
      </c>
      <c r="F19" s="20">
        <v>0</v>
      </c>
      <c r="G19" s="20">
        <v>0</v>
      </c>
      <c r="H19" s="20">
        <v>0</v>
      </c>
      <c r="I19" s="20">
        <v>0</v>
      </c>
      <c r="J19" s="20">
        <v>0</v>
      </c>
      <c r="K19" s="20">
        <v>0</v>
      </c>
      <c r="L19" s="20">
        <v>1.5</v>
      </c>
      <c r="M19" s="20">
        <v>1.5</v>
      </c>
      <c r="N19" s="20">
        <v>1.8</v>
      </c>
      <c r="O19" s="20">
        <v>0.60000000000000142</v>
      </c>
      <c r="P19" s="20">
        <v>1.2</v>
      </c>
      <c r="Q19" s="20">
        <v>1.2</v>
      </c>
      <c r="R19" s="20">
        <v>31.3</v>
      </c>
      <c r="S19" s="20">
        <v>2</v>
      </c>
    </row>
    <row r="20" spans="1:23" s="24" customFormat="1">
      <c r="A20" s="19" t="s">
        <v>56</v>
      </c>
      <c r="B20" s="20">
        <v>0</v>
      </c>
      <c r="C20" s="20">
        <v>0</v>
      </c>
      <c r="D20" s="20">
        <v>0</v>
      </c>
      <c r="E20" s="20">
        <v>0</v>
      </c>
      <c r="F20" s="20">
        <v>0</v>
      </c>
      <c r="G20" s="20">
        <v>0</v>
      </c>
      <c r="H20" s="20">
        <v>0</v>
      </c>
      <c r="I20" s="20">
        <v>0</v>
      </c>
      <c r="J20" s="20">
        <v>0</v>
      </c>
      <c r="K20" s="20">
        <v>0</v>
      </c>
      <c r="L20" s="20">
        <v>1.2</v>
      </c>
      <c r="M20" s="20">
        <v>0.8</v>
      </c>
      <c r="N20" s="20">
        <v>1.2</v>
      </c>
      <c r="O20" s="20">
        <v>1.7000000000000002</v>
      </c>
      <c r="P20" s="20">
        <v>1.5</v>
      </c>
      <c r="Q20" s="20">
        <v>1.1000000000000001</v>
      </c>
      <c r="R20" s="20">
        <v>0.9</v>
      </c>
      <c r="S20" s="20">
        <v>1.75</v>
      </c>
    </row>
    <row r="21" spans="1:23" s="24" customFormat="1">
      <c r="A21" s="19" t="s">
        <v>57</v>
      </c>
      <c r="B21" s="20">
        <v>0</v>
      </c>
      <c r="C21" s="20">
        <v>0</v>
      </c>
      <c r="D21" s="20">
        <v>0</v>
      </c>
      <c r="E21" s="20">
        <v>0</v>
      </c>
      <c r="F21" s="20">
        <v>0</v>
      </c>
      <c r="G21" s="20">
        <v>0</v>
      </c>
      <c r="H21" s="20">
        <v>0</v>
      </c>
      <c r="I21" s="20">
        <v>0</v>
      </c>
      <c r="J21" s="20">
        <v>0</v>
      </c>
      <c r="K21" s="20">
        <v>0</v>
      </c>
      <c r="L21" s="20">
        <v>4.5999999999999996</v>
      </c>
      <c r="M21" s="20">
        <v>3.2</v>
      </c>
      <c r="N21" s="20">
        <v>2.4</v>
      </c>
      <c r="O21" s="20">
        <v>1.5</v>
      </c>
      <c r="P21" s="20">
        <v>3.2</v>
      </c>
      <c r="Q21" s="20">
        <v>4.4000000000000004</v>
      </c>
      <c r="R21" s="20">
        <v>6.6</v>
      </c>
      <c r="S21" s="20">
        <v>3.75</v>
      </c>
    </row>
    <row r="22" spans="1:23" s="17" customFormat="1">
      <c r="A22" s="17" t="s">
        <v>58</v>
      </c>
      <c r="B22" s="27">
        <f t="shared" ref="B22" si="8">SUM(B16,B19:B21)</f>
        <v>101</v>
      </c>
      <c r="C22" s="27">
        <f t="shared" ref="C22:D22" si="9">SUM(C16,C19:C21)</f>
        <v>103</v>
      </c>
      <c r="D22" s="27">
        <f t="shared" si="9"/>
        <v>102</v>
      </c>
      <c r="E22" s="27">
        <f t="shared" ref="E22:F22" si="10">SUM(E16,E19:E21)</f>
        <v>39.700000000000003</v>
      </c>
      <c r="F22" s="27">
        <f t="shared" si="10"/>
        <v>122.8</v>
      </c>
      <c r="G22" s="27">
        <f t="shared" ref="G22:L22" si="11">SUM(G16,G19:G21)</f>
        <v>105</v>
      </c>
      <c r="H22" s="27">
        <f t="shared" si="11"/>
        <v>108.7</v>
      </c>
      <c r="I22" s="27">
        <f t="shared" si="11"/>
        <v>117.8</v>
      </c>
      <c r="J22" s="27">
        <f t="shared" si="11"/>
        <v>111.5</v>
      </c>
      <c r="K22" s="27">
        <f t="shared" si="11"/>
        <v>63.7</v>
      </c>
      <c r="L22" s="27">
        <f t="shared" si="11"/>
        <v>48.876000000000012</v>
      </c>
      <c r="M22" s="27">
        <f t="shared" ref="M22:S22" si="12">SUM(M16,M19:M21)</f>
        <v>50.377000000000017</v>
      </c>
      <c r="N22" s="27">
        <f t="shared" si="12"/>
        <v>44.301999999999978</v>
      </c>
      <c r="O22" s="27">
        <f t="shared" si="12"/>
        <v>46.778000000000155</v>
      </c>
      <c r="P22" s="27">
        <f t="shared" si="12"/>
        <v>39.403000000000013</v>
      </c>
      <c r="Q22" s="27">
        <f t="shared" si="12"/>
        <v>44.616000000000078</v>
      </c>
      <c r="R22" s="27">
        <f t="shared" si="12"/>
        <v>37.131999999999962</v>
      </c>
      <c r="S22" s="27">
        <f t="shared" si="12"/>
        <v>44.127000000000052</v>
      </c>
    </row>
    <row r="23" spans="1:23" s="17" customFormat="1">
      <c r="B23" s="27"/>
      <c r="C23" s="27"/>
      <c r="D23" s="27"/>
      <c r="E23" s="27"/>
      <c r="F23" s="27"/>
      <c r="G23" s="27"/>
      <c r="H23" s="27"/>
      <c r="I23" s="27"/>
      <c r="J23" s="21"/>
      <c r="K23" s="27"/>
      <c r="L23" s="27"/>
      <c r="M23" s="27"/>
      <c r="N23" s="27"/>
      <c r="O23" s="27"/>
      <c r="P23" s="27"/>
      <c r="Q23" s="27"/>
      <c r="R23" s="27"/>
      <c r="S23" s="27"/>
    </row>
    <row r="24" spans="1:23" s="17" customFormat="1">
      <c r="A24" s="17" t="s">
        <v>59</v>
      </c>
      <c r="B24" s="27">
        <f t="shared" ref="B24:L24" si="13">SUM(B22:E22)</f>
        <v>345.7</v>
      </c>
      <c r="C24" s="27">
        <f t="shared" si="13"/>
        <v>367.5</v>
      </c>
      <c r="D24" s="27">
        <f t="shared" si="13"/>
        <v>369.5</v>
      </c>
      <c r="E24" s="27">
        <f t="shared" si="13"/>
        <v>376.2</v>
      </c>
      <c r="F24" s="27">
        <f t="shared" si="13"/>
        <v>454.3</v>
      </c>
      <c r="G24" s="27">
        <f t="shared" si="13"/>
        <v>443</v>
      </c>
      <c r="H24" s="27">
        <f t="shared" si="13"/>
        <v>401.7</v>
      </c>
      <c r="I24" s="27">
        <f t="shared" si="13"/>
        <v>341.87600000000003</v>
      </c>
      <c r="J24" s="27">
        <f t="shared" si="13"/>
        <v>274.45300000000003</v>
      </c>
      <c r="K24" s="27">
        <f t="shared" si="13"/>
        <v>207.255</v>
      </c>
      <c r="L24" s="27">
        <f t="shared" si="13"/>
        <v>190.33300000000017</v>
      </c>
      <c r="M24" s="27">
        <f t="shared" ref="M24:P24" si="14">SUM(M22:P22)</f>
        <v>180.86000000000018</v>
      </c>
      <c r="N24" s="27">
        <f t="shared" si="14"/>
        <v>175.09900000000022</v>
      </c>
      <c r="O24" s="27">
        <f t="shared" si="14"/>
        <v>167.9290000000002</v>
      </c>
      <c r="P24" s="27">
        <f t="shared" si="14"/>
        <v>165.27800000000011</v>
      </c>
      <c r="Q24" s="27"/>
      <c r="R24" s="27"/>
      <c r="S24" s="27"/>
    </row>
    <row r="25" spans="1:23" s="24" customFormat="1">
      <c r="A25" s="19" t="s">
        <v>60</v>
      </c>
      <c r="B25" s="28">
        <v>0</v>
      </c>
      <c r="C25" s="28">
        <v>0</v>
      </c>
      <c r="D25" s="28">
        <v>0</v>
      </c>
      <c r="E25" s="28">
        <v>0</v>
      </c>
      <c r="F25" s="28">
        <v>0</v>
      </c>
      <c r="G25" s="28">
        <v>0</v>
      </c>
      <c r="H25" s="28">
        <v>0</v>
      </c>
      <c r="I25" s="28">
        <v>0</v>
      </c>
      <c r="J25" s="28">
        <v>0</v>
      </c>
      <c r="K25" s="28">
        <v>0</v>
      </c>
      <c r="L25" s="28">
        <v>0</v>
      </c>
      <c r="M25" s="28">
        <v>0</v>
      </c>
      <c r="N25" s="28">
        <v>0</v>
      </c>
      <c r="O25" s="28">
        <v>0</v>
      </c>
      <c r="P25" s="28">
        <v>0</v>
      </c>
      <c r="Q25" s="28"/>
      <c r="R25" s="28"/>
      <c r="S25" s="28"/>
    </row>
    <row r="26" spans="1:23" s="24" customFormat="1">
      <c r="A26" s="19" t="s">
        <v>61</v>
      </c>
      <c r="B26" s="29">
        <f>360.2-B25-B24</f>
        <v>14.5</v>
      </c>
      <c r="C26" s="29">
        <f>383.5-C25-C24</f>
        <v>16</v>
      </c>
      <c r="D26" s="29">
        <f>386.3-D25-D24</f>
        <v>16.800000000000011</v>
      </c>
      <c r="E26" s="29">
        <f>402.6-E25-E24</f>
        <v>26.400000000000034</v>
      </c>
      <c r="F26" s="29">
        <f>480.665751-F25-F24</f>
        <v>26.365750999999989</v>
      </c>
      <c r="G26" s="29">
        <f>464.6-G25-G24</f>
        <v>21.600000000000023</v>
      </c>
      <c r="H26" s="29">
        <f>461-H25-H24</f>
        <v>59.300000000000011</v>
      </c>
      <c r="I26" s="29">
        <f>453.912-I25-I24</f>
        <v>112.03599999999994</v>
      </c>
      <c r="J26" s="29">
        <f>440.517-J25-J24</f>
        <v>166.06399999999996</v>
      </c>
      <c r="K26" s="29">
        <f>423.592-K25-K24</f>
        <v>216.33699999999999</v>
      </c>
      <c r="L26" s="29">
        <v>0</v>
      </c>
      <c r="M26" s="29">
        <v>0</v>
      </c>
      <c r="N26" s="29">
        <v>0</v>
      </c>
      <c r="O26" s="29">
        <v>0</v>
      </c>
      <c r="P26" s="29">
        <v>0</v>
      </c>
      <c r="Q26" s="30"/>
      <c r="R26" s="30"/>
      <c r="S26" s="30"/>
    </row>
    <row r="27" spans="1:23" s="32" customFormat="1">
      <c r="A27" s="17" t="s">
        <v>62</v>
      </c>
      <c r="B27" s="27">
        <f t="shared" ref="B27:C27" si="15">SUM(B24:B26)</f>
        <v>360.2</v>
      </c>
      <c r="C27" s="27">
        <f t="shared" si="15"/>
        <v>383.5</v>
      </c>
      <c r="D27" s="27">
        <f t="shared" ref="D27:F27" si="16">SUM(D24:D26)</f>
        <v>386.3</v>
      </c>
      <c r="E27" s="27">
        <f t="shared" si="16"/>
        <v>402.6</v>
      </c>
      <c r="F27" s="27">
        <f t="shared" si="16"/>
        <v>480.665751</v>
      </c>
      <c r="G27" s="27">
        <f t="shared" ref="G27:L27" si="17">SUM(G24:G26)</f>
        <v>464.6</v>
      </c>
      <c r="H27" s="27">
        <f t="shared" si="17"/>
        <v>461</v>
      </c>
      <c r="I27" s="27">
        <f t="shared" si="17"/>
        <v>453.91199999999998</v>
      </c>
      <c r="J27" s="27">
        <f t="shared" si="17"/>
        <v>440.517</v>
      </c>
      <c r="K27" s="27">
        <f t="shared" si="17"/>
        <v>423.59199999999998</v>
      </c>
      <c r="L27" s="27">
        <f t="shared" si="17"/>
        <v>190.33300000000017</v>
      </c>
      <c r="M27" s="27">
        <f t="shared" ref="M27:P27" si="18">SUM(M24:M26)</f>
        <v>180.86000000000018</v>
      </c>
      <c r="N27" s="27">
        <f t="shared" si="18"/>
        <v>175.09900000000022</v>
      </c>
      <c r="O27" s="27">
        <f t="shared" si="18"/>
        <v>167.9290000000002</v>
      </c>
      <c r="P27" s="27">
        <f t="shared" si="18"/>
        <v>165.27800000000011</v>
      </c>
      <c r="Q27" s="31"/>
      <c r="R27" s="31"/>
      <c r="S27" s="31"/>
    </row>
    <row r="28" spans="1:23" s="24" customFormat="1"/>
    <row r="29" spans="1:23" s="17" customFormat="1">
      <c r="A29" s="17" t="s">
        <v>58</v>
      </c>
      <c r="B29" s="27">
        <f t="shared" ref="B29:C29" si="19">B22</f>
        <v>101</v>
      </c>
      <c r="C29" s="27">
        <f t="shared" si="19"/>
        <v>103</v>
      </c>
      <c r="D29" s="27">
        <f t="shared" ref="D29:F29" si="20">D22</f>
        <v>102</v>
      </c>
      <c r="E29" s="27">
        <f t="shared" si="20"/>
        <v>39.700000000000003</v>
      </c>
      <c r="F29" s="27">
        <f t="shared" si="20"/>
        <v>122.8</v>
      </c>
      <c r="G29" s="27">
        <f t="shared" ref="G29:K29" si="21">G22</f>
        <v>105</v>
      </c>
      <c r="H29" s="27">
        <f t="shared" si="21"/>
        <v>108.7</v>
      </c>
      <c r="I29" s="27">
        <f t="shared" si="21"/>
        <v>117.8</v>
      </c>
      <c r="J29" s="27">
        <f t="shared" si="21"/>
        <v>111.5</v>
      </c>
      <c r="K29" s="27">
        <f t="shared" si="21"/>
        <v>63.7</v>
      </c>
      <c r="L29" s="27">
        <f t="shared" ref="L29:S29" si="22">L22</f>
        <v>48.876000000000012</v>
      </c>
      <c r="M29" s="27">
        <f t="shared" si="22"/>
        <v>50.377000000000017</v>
      </c>
      <c r="N29" s="27">
        <f t="shared" si="22"/>
        <v>44.301999999999978</v>
      </c>
      <c r="O29" s="27">
        <f t="shared" si="22"/>
        <v>46.778000000000155</v>
      </c>
      <c r="P29" s="27">
        <f t="shared" si="22"/>
        <v>39.403000000000013</v>
      </c>
      <c r="Q29" s="27">
        <f t="shared" si="22"/>
        <v>44.616000000000078</v>
      </c>
      <c r="R29" s="27">
        <f t="shared" si="22"/>
        <v>37.131999999999962</v>
      </c>
      <c r="S29" s="27">
        <f t="shared" si="22"/>
        <v>44.127000000000052</v>
      </c>
      <c r="U29" s="75"/>
      <c r="V29" s="75"/>
      <c r="W29" s="75"/>
    </row>
    <row r="30" spans="1:23" s="33" customFormat="1">
      <c r="A30" s="20" t="s">
        <v>63</v>
      </c>
      <c r="B30" s="20">
        <f>-36.247+4.119</f>
        <v>-32.128</v>
      </c>
      <c r="C30" s="20">
        <f>-146.869-D30-E30-F30</f>
        <v>-18.63900000000001</v>
      </c>
      <c r="D30" s="20">
        <f>-128.721+0.491-E30-F30</f>
        <v>-50.393999999999991</v>
      </c>
      <c r="E30" s="20">
        <f>-86.19+8.354-F30</f>
        <v>-36.548000000000002</v>
      </c>
      <c r="F30" s="20">
        <f>-45.91+4.622</f>
        <v>-41.287999999999997</v>
      </c>
      <c r="G30" s="20">
        <f>-145.415-H30-I30-J30</f>
        <v>-34.189999999999984</v>
      </c>
      <c r="H30" s="20">
        <f>-126.894+15.669-I30-J30</f>
        <v>-43.39200000000001</v>
      </c>
      <c r="I30" s="20">
        <f>-76.865+9.032-J30</f>
        <v>-43.055999999999997</v>
      </c>
      <c r="J30" s="20">
        <f>-27.379+2.602</f>
        <v>-24.777000000000001</v>
      </c>
      <c r="K30" s="20">
        <f>-66.878-L30-M30-N30</f>
        <v>-17.971</v>
      </c>
      <c r="L30" s="20">
        <f>-51.025+2.118-M30-N30</f>
        <v>-17.077999999999999</v>
      </c>
      <c r="M30" s="20">
        <f>-33.241+1.412-N30</f>
        <v>-16.318000000000001</v>
      </c>
      <c r="N30" s="20">
        <f>-16.217+0.706</f>
        <v>-15.510999999999999</v>
      </c>
      <c r="O30" s="20">
        <v>-4.2640000000000029</v>
      </c>
      <c r="P30" s="20">
        <v>-15.534000000000001</v>
      </c>
      <c r="Q30" s="20">
        <v>-14.439</v>
      </c>
      <c r="R30" s="20">
        <v>-23.768999999999998</v>
      </c>
      <c r="S30" s="20">
        <v>-15.212999999999994</v>
      </c>
    </row>
    <row r="31" spans="1:23" s="33" customFormat="1">
      <c r="A31" s="20" t="s">
        <v>64</v>
      </c>
      <c r="B31" s="20">
        <f>13.923-14.36</f>
        <v>-0.43699999999999939</v>
      </c>
      <c r="C31" s="20">
        <f>-2.963-D31-E31-F31</f>
        <v>-1.6019999999999959</v>
      </c>
      <c r="D31" s="20">
        <f>52.83-54.191-E31-F31</f>
        <v>-1.3610000000000042</v>
      </c>
      <c r="E31" s="20">
        <f>39.582-39.582-F31</f>
        <v>0.54399999999999871</v>
      </c>
      <c r="F31" s="20">
        <f>10.685-11.229</f>
        <v>-0.54399999999999871</v>
      </c>
      <c r="G31" s="20">
        <f>-1.755-H31-I31-J31</f>
        <v>-0.17800000000000171</v>
      </c>
      <c r="H31" s="20">
        <f>60.572-62.149-I31-J31</f>
        <v>-0.43799999999999883</v>
      </c>
      <c r="I31" s="20">
        <f>30.418-31.557-J31</f>
        <v>-0.73000000000000043</v>
      </c>
      <c r="J31" s="20">
        <f>-18.247+17.838</f>
        <v>-0.40899999999999892</v>
      </c>
      <c r="K31" s="20">
        <f>0.49-L31-M31-N31</f>
        <v>1.5999999999999994</v>
      </c>
      <c r="L31" s="20">
        <f>10.727-11.837-M31-N31</f>
        <v>-0.50999999999999979</v>
      </c>
      <c r="M31" s="20">
        <f>12.111-12.711-N31</f>
        <v>-0.16299999999999848</v>
      </c>
      <c r="N31" s="20">
        <f>12.328-12.765</f>
        <v>-0.43700000000000117</v>
      </c>
      <c r="O31" s="20">
        <v>0.64299999999999946</v>
      </c>
      <c r="P31" s="20">
        <v>0.73800000000000043</v>
      </c>
      <c r="Q31" s="20">
        <v>-1.4909999999999999</v>
      </c>
      <c r="R31" s="20">
        <v>-4.5999999999999999E-2</v>
      </c>
      <c r="S31" s="20">
        <v>0.375</v>
      </c>
    </row>
    <row r="32" spans="1:23" s="33" customFormat="1">
      <c r="A32" s="20" t="s">
        <v>65</v>
      </c>
      <c r="B32" s="20">
        <f>4.465-9.444-3.751-1.846-0.218+10.726+6.342</f>
        <v>6.274</v>
      </c>
      <c r="C32" s="20">
        <f>36.985+3.234+12.246+4.482-11.285+119.748+68.387-D32-E32-F32</f>
        <v>13.887000000000036</v>
      </c>
      <c r="D32" s="20">
        <f>33.262+13.141+19.379+7.551-1.041+87.732+31.458+28.428-E32-F32</f>
        <v>65.387</v>
      </c>
      <c r="E32" s="20">
        <f>41.398+32.008+28.301+5.834-0.444+17.009+32.048-1.631-F32</f>
        <v>101.30099999999999</v>
      </c>
      <c r="F32" s="20">
        <f>25.872+6.261+19.78-0.309-0.215+12.358-10.525</f>
        <v>53.222000000000001</v>
      </c>
      <c r="G32" s="20">
        <f>5.877-20.631-10.517+1.559-2.602+53.52-13.478+25.255-H32-I32-J32</f>
        <v>57.88</v>
      </c>
      <c r="H32" s="20">
        <f>-18.897-I32-J32</f>
        <v>4.4370000000000065</v>
      </c>
      <c r="I32" s="20">
        <f>3.146-18.448+10.715-2.307-0.748-18.752-10.642+13.702-J32</f>
        <v>-24.713000000000005</v>
      </c>
      <c r="J32" s="20">
        <v>1.379</v>
      </c>
      <c r="K32" s="20">
        <f>-6.129-7.783-3.041+0.091-0.77+22.65+7.583+8.242+13.462+5.961-L32-M32-N32</f>
        <v>24.590000000000003</v>
      </c>
      <c r="L32" s="20">
        <f>15.676-M32-N32</f>
        <v>2.7409999999999997</v>
      </c>
      <c r="M32" s="20">
        <f>12.935-N32</f>
        <v>6.4290000000000003</v>
      </c>
      <c r="N32" s="20">
        <v>6.5060000000000002</v>
      </c>
      <c r="O32" s="20">
        <v>5.3170000000000002</v>
      </c>
      <c r="P32" s="20">
        <v>-9.6230000000000011</v>
      </c>
      <c r="Q32" s="20">
        <v>-5.2360000000000007</v>
      </c>
      <c r="R32" s="20">
        <v>0.29899999999999949</v>
      </c>
      <c r="S32" s="20">
        <v>42.849999999999994</v>
      </c>
    </row>
    <row r="33" spans="1:23" s="33" customFormat="1">
      <c r="A33" s="20" t="s">
        <v>66</v>
      </c>
      <c r="B33" s="20">
        <v>0</v>
      </c>
      <c r="C33" s="20">
        <v>0</v>
      </c>
      <c r="D33" s="20">
        <v>0</v>
      </c>
      <c r="E33" s="20">
        <v>0</v>
      </c>
      <c r="F33" s="20">
        <v>0</v>
      </c>
      <c r="G33" s="20">
        <v>0</v>
      </c>
      <c r="H33" s="20">
        <v>0</v>
      </c>
      <c r="I33" s="20">
        <v>0</v>
      </c>
      <c r="J33" s="20">
        <v>0</v>
      </c>
      <c r="K33" s="20">
        <v>0</v>
      </c>
      <c r="L33" s="20">
        <f>-L19-L20-L21</f>
        <v>-7.3</v>
      </c>
      <c r="M33" s="20">
        <f>-M19-M20-M21</f>
        <v>-5.5</v>
      </c>
      <c r="N33" s="20">
        <f>-N19-N20-N21</f>
        <v>-5.4</v>
      </c>
      <c r="O33" s="20">
        <f>-O19-O20-O21</f>
        <v>-3.8000000000000016</v>
      </c>
      <c r="P33" s="20">
        <f t="shared" ref="P33:S33" si="23">-P19-P20-P21</f>
        <v>-5.9</v>
      </c>
      <c r="Q33" s="20">
        <f t="shared" si="23"/>
        <v>-6.7</v>
      </c>
      <c r="R33" s="20">
        <f t="shared" si="23"/>
        <v>-38.800000000000004</v>
      </c>
      <c r="S33" s="20">
        <f t="shared" si="23"/>
        <v>-7.5</v>
      </c>
    </row>
    <row r="34" spans="1:23" s="33" customFormat="1">
      <c r="A34" s="20" t="s">
        <v>57</v>
      </c>
      <c r="B34" s="29">
        <v>0</v>
      </c>
      <c r="C34" s="29">
        <v>0</v>
      </c>
      <c r="D34" s="29">
        <v>0</v>
      </c>
      <c r="E34" s="29">
        <v>0</v>
      </c>
      <c r="F34" s="29">
        <v>0</v>
      </c>
      <c r="G34" s="29">
        <v>0</v>
      </c>
      <c r="H34" s="29">
        <v>0</v>
      </c>
      <c r="I34" s="29">
        <v>0</v>
      </c>
      <c r="J34" s="29">
        <v>0</v>
      </c>
      <c r="K34" s="29">
        <v>0</v>
      </c>
      <c r="L34" s="29">
        <f t="shared" ref="L34:S34" si="24">L35-L29-L30-L31-L32-L33</f>
        <v>2.9079999999999879</v>
      </c>
      <c r="M34" s="29">
        <f t="shared" si="24"/>
        <v>1.0299999999999798</v>
      </c>
      <c r="N34" s="29">
        <f t="shared" si="24"/>
        <v>2.4640000000000217</v>
      </c>
      <c r="O34" s="29">
        <f t="shared" si="24"/>
        <v>-9.3720000000001527</v>
      </c>
      <c r="P34" s="29">
        <f t="shared" si="24"/>
        <v>1.1329999999999867</v>
      </c>
      <c r="Q34" s="29">
        <f t="shared" si="24"/>
        <v>6.9159999999999231</v>
      </c>
      <c r="R34" s="29">
        <f t="shared" si="24"/>
        <v>14.707000000000036</v>
      </c>
      <c r="S34" s="29">
        <f t="shared" si="24"/>
        <v>-23.224000000000061</v>
      </c>
    </row>
    <row r="35" spans="1:23" s="27" customFormat="1">
      <c r="A35" s="27" t="s">
        <v>67</v>
      </c>
      <c r="B35" s="27">
        <v>21.536000000000001</v>
      </c>
      <c r="C35" s="27">
        <f>236.463-D35-E35-F35</f>
        <v>27.027999999999992</v>
      </c>
      <c r="D35" s="27">
        <f>209.435-E35-F35</f>
        <v>79.644000000000005</v>
      </c>
      <c r="E35" s="27">
        <f>129.791-F35</f>
        <v>48.572000000000003</v>
      </c>
      <c r="F35" s="27">
        <v>81.218999999999994</v>
      </c>
      <c r="G35" s="27">
        <f>35.49-H35-I35-J35</f>
        <v>47.061999999999998</v>
      </c>
      <c r="H35" s="27">
        <f>-11.572-I35-J35</f>
        <v>35.706000000000003</v>
      </c>
      <c r="I35" s="27">
        <f>-47.278-J35</f>
        <v>-14.119</v>
      </c>
      <c r="J35" s="27">
        <v>-33.158999999999999</v>
      </c>
      <c r="K35" s="27">
        <f>141.099-L35-M35-N35</f>
        <v>43.683</v>
      </c>
      <c r="L35" s="27">
        <f>97.416-M35-N35</f>
        <v>29.637</v>
      </c>
      <c r="M35" s="27">
        <f>67.779-N35</f>
        <v>35.854999999999997</v>
      </c>
      <c r="N35" s="27">
        <v>31.923999999999999</v>
      </c>
      <c r="O35" s="27">
        <v>35.302</v>
      </c>
      <c r="P35" s="27">
        <v>10.216999999999999</v>
      </c>
      <c r="Q35" s="27">
        <v>23.666</v>
      </c>
      <c r="R35" s="27">
        <v>-10.477</v>
      </c>
      <c r="S35" s="27">
        <v>41.414999999999992</v>
      </c>
    </row>
    <row r="36" spans="1:23" s="33" customFormat="1">
      <c r="A36" s="20" t="s">
        <v>68</v>
      </c>
      <c r="B36" s="29">
        <v>-27.084</v>
      </c>
      <c r="C36" s="29">
        <f>-88.575-D36-E36-F36</f>
        <v>-22.783000000000008</v>
      </c>
      <c r="D36" s="29">
        <f>-65.792-E36-F36</f>
        <v>-9.4250000000000043</v>
      </c>
      <c r="E36" s="29">
        <f>-56.367-F36</f>
        <v>-19.336999999999996</v>
      </c>
      <c r="F36" s="29">
        <v>-37.03</v>
      </c>
      <c r="G36" s="29">
        <f>-133.242-H36-I36-J36</f>
        <v>-48.714999999999989</v>
      </c>
      <c r="H36" s="29">
        <f>-84.527-I36-J36</f>
        <v>-31.69</v>
      </c>
      <c r="I36" s="29">
        <f>-52.837-J36</f>
        <v>-31.238000000000003</v>
      </c>
      <c r="J36" s="29">
        <v>-21.599</v>
      </c>
      <c r="K36" s="29">
        <f>-85.726-L36-M36-N36</f>
        <v>-25.296999999999997</v>
      </c>
      <c r="L36" s="29">
        <f>-60.429-M36-N36</f>
        <v>-21.091999999999999</v>
      </c>
      <c r="M36" s="29">
        <f>-39.337-N36</f>
        <v>-21.804000000000002</v>
      </c>
      <c r="N36" s="29">
        <v>-17.533000000000001</v>
      </c>
      <c r="O36" s="29">
        <v>-18.449999999999996</v>
      </c>
      <c r="P36" s="29">
        <v>-17.693000000000005</v>
      </c>
      <c r="Q36" s="29">
        <v>-16.36</v>
      </c>
      <c r="R36" s="29">
        <v>-14.345000000000001</v>
      </c>
      <c r="S36" s="29">
        <v>-16.124000000000009</v>
      </c>
    </row>
    <row r="37" spans="1:23" s="27" customFormat="1">
      <c r="A37" s="27" t="s">
        <v>69</v>
      </c>
      <c r="B37" s="27">
        <f t="shared" ref="B37:L37" si="25">+B35+B36</f>
        <v>-5.5479999999999983</v>
      </c>
      <c r="C37" s="27">
        <f t="shared" si="25"/>
        <v>4.2449999999999832</v>
      </c>
      <c r="D37" s="27">
        <f t="shared" si="25"/>
        <v>70.218999999999994</v>
      </c>
      <c r="E37" s="27">
        <f t="shared" si="25"/>
        <v>29.235000000000007</v>
      </c>
      <c r="F37" s="27">
        <f t="shared" si="25"/>
        <v>44.188999999999993</v>
      </c>
      <c r="G37" s="27">
        <f t="shared" si="25"/>
        <v>-1.6529999999999916</v>
      </c>
      <c r="H37" s="27">
        <f t="shared" si="25"/>
        <v>4.0160000000000018</v>
      </c>
      <c r="I37" s="27">
        <f t="shared" si="25"/>
        <v>-45.356999999999999</v>
      </c>
      <c r="J37" s="27">
        <f t="shared" si="25"/>
        <v>-54.757999999999996</v>
      </c>
      <c r="K37" s="27">
        <f t="shared" si="25"/>
        <v>18.386000000000003</v>
      </c>
      <c r="L37" s="27">
        <f t="shared" si="25"/>
        <v>8.5450000000000017</v>
      </c>
      <c r="M37" s="27">
        <f t="shared" ref="M37:S37" si="26">+M35+M36</f>
        <v>14.050999999999995</v>
      </c>
      <c r="N37" s="27">
        <f t="shared" si="26"/>
        <v>14.390999999999998</v>
      </c>
      <c r="O37" s="27">
        <f t="shared" si="26"/>
        <v>16.852000000000004</v>
      </c>
      <c r="P37" s="27">
        <f t="shared" si="26"/>
        <v>-7.4760000000000062</v>
      </c>
      <c r="Q37" s="27">
        <f t="shared" si="26"/>
        <v>7.3060000000000009</v>
      </c>
      <c r="R37" s="27">
        <f t="shared" si="26"/>
        <v>-24.822000000000003</v>
      </c>
      <c r="S37" s="27">
        <f t="shared" si="26"/>
        <v>25.290999999999983</v>
      </c>
    </row>
    <row r="38" spans="1:23">
      <c r="J38" s="33"/>
      <c r="K38" s="33"/>
      <c r="U38" s="33"/>
      <c r="V38" s="33"/>
      <c r="W38" s="33"/>
    </row>
    <row r="39" spans="1:23" s="35" customFormat="1">
      <c r="A39" s="34" t="s">
        <v>70</v>
      </c>
      <c r="B39" s="20">
        <v>0</v>
      </c>
      <c r="C39" s="20">
        <v>0</v>
      </c>
      <c r="D39" s="20">
        <v>0</v>
      </c>
      <c r="E39" s="20">
        <v>0</v>
      </c>
      <c r="F39" s="20">
        <v>279</v>
      </c>
      <c r="G39" s="20">
        <v>81</v>
      </c>
      <c r="H39" s="20">
        <v>20</v>
      </c>
      <c r="I39" s="20">
        <v>11</v>
      </c>
      <c r="J39" s="20">
        <f>K39</f>
        <v>0</v>
      </c>
      <c r="K39" s="20">
        <v>0</v>
      </c>
      <c r="L39" s="20"/>
      <c r="M39" s="20"/>
      <c r="N39" s="20"/>
      <c r="O39" s="20"/>
      <c r="P39" s="20"/>
      <c r="Q39" s="20"/>
      <c r="R39" s="20"/>
      <c r="S39" s="20"/>
    </row>
    <row r="40" spans="1:23" s="35" customFormat="1">
      <c r="A40" s="34" t="s">
        <v>71</v>
      </c>
      <c r="B40" s="20">
        <f>1916+300+24+10</f>
        <v>2250</v>
      </c>
      <c r="C40" s="20">
        <f>1921+300+24+10</f>
        <v>2255</v>
      </c>
      <c r="D40" s="20">
        <f>1926+300+20+9</f>
        <v>2255</v>
      </c>
      <c r="E40" s="20">
        <f>1931+300+20+5</f>
        <v>2256</v>
      </c>
      <c r="F40" s="20">
        <f>1936+21+4</f>
        <v>1961</v>
      </c>
      <c r="G40" s="20">
        <f>1841+17+9</f>
        <v>1867</v>
      </c>
      <c r="H40" s="20">
        <f>1845+13+10</f>
        <v>1868</v>
      </c>
      <c r="I40" s="20">
        <f>(K40-(1850*0.5/100))-1.378</f>
        <v>1855.3720000000001</v>
      </c>
      <c r="J40" s="20">
        <f>(K40-(1850*0.25/100))-0.408</f>
        <v>1860.9670000000001</v>
      </c>
      <c r="K40" s="20">
        <f>1850+16</f>
        <v>1866</v>
      </c>
      <c r="L40" s="20"/>
      <c r="M40" s="20"/>
      <c r="N40" s="20"/>
      <c r="O40" s="20"/>
      <c r="P40" s="20"/>
      <c r="Q40" s="20"/>
      <c r="R40" s="20"/>
      <c r="S40" s="20"/>
    </row>
    <row r="41" spans="1:23" s="35" customFormat="1">
      <c r="A41" s="34" t="s">
        <v>72</v>
      </c>
      <c r="B41" s="20">
        <f t="shared" ref="B41:K41" si="27">B39+B40+600</f>
        <v>2850</v>
      </c>
      <c r="C41" s="20">
        <f t="shared" si="27"/>
        <v>2855</v>
      </c>
      <c r="D41" s="20">
        <f t="shared" si="27"/>
        <v>2855</v>
      </c>
      <c r="E41" s="20">
        <f t="shared" si="27"/>
        <v>2856</v>
      </c>
      <c r="F41" s="20">
        <f t="shared" si="27"/>
        <v>2840</v>
      </c>
      <c r="G41" s="20">
        <f t="shared" si="27"/>
        <v>2548</v>
      </c>
      <c r="H41" s="20">
        <f t="shared" si="27"/>
        <v>2488</v>
      </c>
      <c r="I41" s="20">
        <f t="shared" si="27"/>
        <v>2466.3720000000003</v>
      </c>
      <c r="J41" s="20">
        <f t="shared" si="27"/>
        <v>2460.9670000000001</v>
      </c>
      <c r="K41" s="20">
        <f t="shared" si="27"/>
        <v>2466</v>
      </c>
      <c r="L41" s="20"/>
      <c r="M41" s="20"/>
      <c r="N41" s="20"/>
      <c r="O41" s="20"/>
      <c r="P41" s="20"/>
      <c r="Q41" s="20"/>
      <c r="R41" s="20"/>
      <c r="S41" s="20"/>
    </row>
    <row r="42" spans="1:23" s="35" customFormat="1">
      <c r="A42" s="34" t="s">
        <v>73</v>
      </c>
      <c r="B42" s="36">
        <f t="shared" ref="B42:J42" si="28">C42</f>
        <v>3225</v>
      </c>
      <c r="C42" s="36">
        <f t="shared" si="28"/>
        <v>3225</v>
      </c>
      <c r="D42" s="36">
        <f t="shared" si="28"/>
        <v>3225</v>
      </c>
      <c r="E42" s="36">
        <f t="shared" si="28"/>
        <v>3225</v>
      </c>
      <c r="F42" s="36">
        <f t="shared" si="28"/>
        <v>3225</v>
      </c>
      <c r="G42" s="36">
        <f t="shared" si="28"/>
        <v>3225</v>
      </c>
      <c r="H42" s="36">
        <f t="shared" si="28"/>
        <v>3225</v>
      </c>
      <c r="I42" s="36">
        <f t="shared" si="28"/>
        <v>3225</v>
      </c>
      <c r="J42" s="36">
        <f t="shared" si="28"/>
        <v>3225</v>
      </c>
      <c r="K42" s="36">
        <v>3225</v>
      </c>
      <c r="L42" s="36"/>
      <c r="M42" s="36"/>
      <c r="N42" s="36"/>
      <c r="O42" s="36"/>
      <c r="P42" s="36"/>
      <c r="Q42" s="36"/>
      <c r="R42" s="36"/>
      <c r="S42" s="36"/>
    </row>
    <row r="43" spans="1:23">
      <c r="B43" s="35"/>
      <c r="C43" s="35"/>
      <c r="D43" s="35"/>
      <c r="E43" s="35"/>
      <c r="F43" s="35"/>
      <c r="G43" s="35"/>
      <c r="H43" s="35"/>
      <c r="I43" s="35"/>
      <c r="J43" s="35"/>
      <c r="K43" s="35"/>
      <c r="L43" s="35"/>
      <c r="M43" s="35"/>
      <c r="N43" s="35"/>
    </row>
    <row r="44" spans="1:23">
      <c r="A44" s="19" t="s">
        <v>74</v>
      </c>
      <c r="B44" s="28">
        <v>238</v>
      </c>
      <c r="C44" s="28">
        <v>310</v>
      </c>
      <c r="D44" s="28">
        <v>336</v>
      </c>
      <c r="E44" s="28">
        <v>322</v>
      </c>
      <c r="F44" s="28">
        <v>293.702</v>
      </c>
      <c r="G44" s="28">
        <v>0</v>
      </c>
      <c r="H44" s="28">
        <v>0</v>
      </c>
      <c r="I44" s="28">
        <v>3.2349999999999999</v>
      </c>
      <c r="J44" s="28">
        <v>84.772000000000006</v>
      </c>
      <c r="K44" s="28">
        <v>10</v>
      </c>
      <c r="L44" s="28"/>
      <c r="M44" s="28"/>
      <c r="N44" s="28"/>
      <c r="O44" s="28"/>
      <c r="P44" s="28"/>
      <c r="Q44" s="28"/>
      <c r="R44" s="57"/>
      <c r="S44" s="57"/>
    </row>
    <row r="46" spans="1:23">
      <c r="A46" s="14" t="s">
        <v>75</v>
      </c>
      <c r="B46" s="58">
        <f t="shared" ref="B46:H46" si="29">SUM(B12:E12)</f>
        <v>3512.2</v>
      </c>
      <c r="C46" s="58">
        <f t="shared" si="29"/>
        <v>3592.3099999999995</v>
      </c>
      <c r="D46" s="58">
        <f t="shared" si="29"/>
        <v>3665.31</v>
      </c>
      <c r="E46" s="58">
        <f t="shared" si="29"/>
        <v>3782.41</v>
      </c>
      <c r="F46" s="58">
        <f t="shared" si="29"/>
        <v>4058.41</v>
      </c>
      <c r="G46" s="58">
        <f t="shared" si="29"/>
        <v>3964.3</v>
      </c>
      <c r="H46" s="58">
        <f t="shared" si="29"/>
        <v>3850.3</v>
      </c>
      <c r="I46" s="51">
        <v>3705</v>
      </c>
      <c r="J46" s="51">
        <v>3548</v>
      </c>
      <c r="K46" s="51">
        <v>3379</v>
      </c>
      <c r="L46" s="51"/>
      <c r="M46" s="33"/>
      <c r="N46" s="33"/>
      <c r="O46" s="33"/>
      <c r="P46" s="33"/>
    </row>
    <row r="47" spans="1:23">
      <c r="A47" s="14" t="s">
        <v>76</v>
      </c>
      <c r="B47" s="58">
        <f t="shared" ref="B47" si="30">B27</f>
        <v>360.2</v>
      </c>
      <c r="C47" s="58">
        <f t="shared" ref="C47:D47" si="31">C27</f>
        <v>383.5</v>
      </c>
      <c r="D47" s="58">
        <f t="shared" si="31"/>
        <v>386.3</v>
      </c>
      <c r="E47" s="58">
        <f t="shared" ref="E47:K47" si="32">E27</f>
        <v>402.6</v>
      </c>
      <c r="F47" s="58">
        <f t="shared" si="32"/>
        <v>480.665751</v>
      </c>
      <c r="G47" s="58">
        <f t="shared" si="32"/>
        <v>464.6</v>
      </c>
      <c r="H47" s="58">
        <f t="shared" si="32"/>
        <v>461</v>
      </c>
      <c r="I47" s="58">
        <f t="shared" si="32"/>
        <v>453.91199999999998</v>
      </c>
      <c r="J47" s="58">
        <f t="shared" si="32"/>
        <v>440.517</v>
      </c>
      <c r="K47" s="58">
        <f t="shared" si="32"/>
        <v>423.59199999999998</v>
      </c>
      <c r="L47" s="51"/>
      <c r="M47" s="33"/>
      <c r="N47" s="33"/>
      <c r="O47" s="33"/>
      <c r="P47" s="33"/>
    </row>
    <row r="48" spans="1:23">
      <c r="A48" s="14" t="s">
        <v>77</v>
      </c>
      <c r="B48" s="58">
        <f t="shared" ref="B48:K48" si="33">SUM(B37:E37)</f>
        <v>98.150999999999982</v>
      </c>
      <c r="C48" s="58">
        <f t="shared" si="33"/>
        <v>147.88799999999998</v>
      </c>
      <c r="D48" s="58">
        <f t="shared" si="33"/>
        <v>141.99</v>
      </c>
      <c r="E48" s="58">
        <f t="shared" si="33"/>
        <v>75.78700000000002</v>
      </c>
      <c r="F48" s="58">
        <f t="shared" si="33"/>
        <v>1.1950000000000074</v>
      </c>
      <c r="G48" s="58">
        <f t="shared" si="33"/>
        <v>-97.751999999999981</v>
      </c>
      <c r="H48" s="58">
        <f t="shared" si="33"/>
        <v>-77.712999999999994</v>
      </c>
      <c r="I48" s="58">
        <f t="shared" si="33"/>
        <v>-73.183999999999983</v>
      </c>
      <c r="J48" s="58">
        <f t="shared" si="33"/>
        <v>-13.775999999999996</v>
      </c>
      <c r="K48" s="58">
        <f t="shared" si="33"/>
        <v>55.372999999999998</v>
      </c>
      <c r="L48" s="51"/>
      <c r="M48" s="33"/>
      <c r="N48" s="33"/>
      <c r="O48" s="33"/>
      <c r="P48" s="33"/>
    </row>
    <row r="50" spans="1:19" s="37" customFormat="1">
      <c r="A50" s="37" t="s">
        <v>78</v>
      </c>
      <c r="B50" s="37">
        <f t="shared" ref="B50:C50" si="34">+SUM(B39:B40)/B47</f>
        <v>6.2465297057190448</v>
      </c>
      <c r="C50" s="37">
        <f t="shared" si="34"/>
        <v>5.8800521512385915</v>
      </c>
      <c r="D50" s="37">
        <f t="shared" ref="D50:E50" si="35">+SUM(D39:D40)/D47</f>
        <v>5.8374320476313741</v>
      </c>
      <c r="E50" s="37">
        <f t="shared" si="35"/>
        <v>5.6035767511177346</v>
      </c>
      <c r="F50" s="37">
        <f t="shared" ref="F50:K50" si="36">+SUM(F39:F40)/F47</f>
        <v>4.660203052411779</v>
      </c>
      <c r="G50" s="37">
        <f t="shared" si="36"/>
        <v>4.1928540680154969</v>
      </c>
      <c r="H50" s="37">
        <f t="shared" si="36"/>
        <v>4.0954446854663775</v>
      </c>
      <c r="I50" s="37">
        <f t="shared" si="36"/>
        <v>4.1117485327552483</v>
      </c>
      <c r="J50" s="37">
        <f t="shared" si="36"/>
        <v>4.2245066592208707</v>
      </c>
      <c r="K50" s="37">
        <f t="shared" si="36"/>
        <v>4.4051823452756427</v>
      </c>
    </row>
    <row r="51" spans="1:19" s="37" customFormat="1">
      <c r="A51" s="37" t="s">
        <v>79</v>
      </c>
      <c r="B51" s="37">
        <f t="shared" ref="B51:C51" si="37">+B41/B47</f>
        <v>7.912270960577457</v>
      </c>
      <c r="C51" s="37">
        <f t="shared" si="37"/>
        <v>7.4445893089960888</v>
      </c>
      <c r="D51" s="37">
        <f t="shared" ref="D51:E51" si="38">+D41/D47</f>
        <v>7.3906290447838465</v>
      </c>
      <c r="E51" s="37">
        <f t="shared" si="38"/>
        <v>7.0938897168405362</v>
      </c>
      <c r="F51" s="37">
        <f t="shared" ref="F51:K51" si="39">+F41/F47</f>
        <v>5.9084717271649341</v>
      </c>
      <c r="G51" s="37">
        <f t="shared" si="39"/>
        <v>5.484287559190701</v>
      </c>
      <c r="H51" s="37">
        <f t="shared" si="39"/>
        <v>5.3969631236442517</v>
      </c>
      <c r="I51" s="37">
        <f t="shared" si="39"/>
        <v>5.4335906519325343</v>
      </c>
      <c r="J51" s="37">
        <f t="shared" si="39"/>
        <v>5.5865426305908743</v>
      </c>
      <c r="K51" s="37">
        <f t="shared" si="39"/>
        <v>5.8216396910234378</v>
      </c>
    </row>
    <row r="52" spans="1:19" s="37" customFormat="1">
      <c r="A52" s="37" t="s">
        <v>80</v>
      </c>
      <c r="B52" s="37">
        <f t="shared" ref="B52:C52" si="40">+(B41-B44)/B47</f>
        <v>7.2515269294836209</v>
      </c>
      <c r="C52" s="37">
        <f t="shared" si="40"/>
        <v>6.636245110821382</v>
      </c>
      <c r="D52" s="37">
        <f t="shared" ref="D52:E52" si="41">+(D41-D44)/D47</f>
        <v>6.5208387263784617</v>
      </c>
      <c r="E52" s="37">
        <f t="shared" si="41"/>
        <v>6.2940884252359659</v>
      </c>
      <c r="F52" s="37">
        <f t="shared" ref="F52:K52" si="42">+(F41-F44)/F47</f>
        <v>5.2974400499776815</v>
      </c>
      <c r="G52" s="37">
        <f t="shared" si="42"/>
        <v>5.484287559190701</v>
      </c>
      <c r="H52" s="37">
        <f t="shared" si="42"/>
        <v>5.3969631236442517</v>
      </c>
      <c r="I52" s="37">
        <f t="shared" si="42"/>
        <v>5.4264637198399699</v>
      </c>
      <c r="J52" s="37">
        <f t="shared" si="42"/>
        <v>5.3941051083159106</v>
      </c>
      <c r="K52" s="37">
        <f t="shared" si="42"/>
        <v>5.7980320685943081</v>
      </c>
    </row>
    <row r="53" spans="1:19" s="38" customFormat="1">
      <c r="A53" s="38" t="s">
        <v>81</v>
      </c>
      <c r="B53" s="38">
        <f t="shared" ref="B53:C53" si="43">+B48/B41</f>
        <v>3.4438947368421048E-2</v>
      </c>
      <c r="C53" s="38">
        <f t="shared" si="43"/>
        <v>5.1799649737302972E-2</v>
      </c>
      <c r="D53" s="38">
        <f t="shared" ref="D53:E53" si="44">+D48/D41</f>
        <v>4.9733800350262702E-2</v>
      </c>
      <c r="E53" s="38">
        <f t="shared" si="44"/>
        <v>2.6536064425770316E-2</v>
      </c>
      <c r="F53" s="38">
        <f t="shared" ref="F53:K53" si="45">+F48/F41</f>
        <v>4.2077464788732653E-4</v>
      </c>
      <c r="G53" s="38">
        <f t="shared" si="45"/>
        <v>-3.8364207221350075E-2</v>
      </c>
      <c r="H53" s="38">
        <f t="shared" si="45"/>
        <v>-3.1235128617363342E-2</v>
      </c>
      <c r="I53" s="38">
        <f t="shared" si="45"/>
        <v>-2.9672733877938923E-2</v>
      </c>
      <c r="J53" s="38">
        <f t="shared" si="45"/>
        <v>-5.5977995641550643E-3</v>
      </c>
      <c r="K53" s="38">
        <f t="shared" si="45"/>
        <v>2.2454582319545821E-2</v>
      </c>
    </row>
    <row r="54" spans="1:19" s="38" customFormat="1">
      <c r="A54" s="39" t="s">
        <v>82</v>
      </c>
      <c r="B54" s="40"/>
      <c r="C54" s="40"/>
      <c r="D54" s="40"/>
      <c r="E54" s="40"/>
      <c r="F54" s="40"/>
      <c r="G54" s="40"/>
      <c r="H54" s="40"/>
      <c r="I54" s="40"/>
      <c r="J54" s="40"/>
      <c r="K54" s="40"/>
      <c r="L54" s="40"/>
      <c r="M54" s="40"/>
      <c r="N54" s="40"/>
      <c r="O54" s="40"/>
      <c r="P54" s="40"/>
      <c r="Q54" s="39"/>
      <c r="R54" s="39"/>
      <c r="S54" s="39"/>
    </row>
    <row r="55" spans="1:19" s="38" customFormat="1">
      <c r="A55" s="38" t="s">
        <v>83</v>
      </c>
      <c r="B55" s="41">
        <f t="shared" ref="B55:C55" si="46">IF(B42=0,IF(B54="","","*"&amp;TEXT(B54,"0.0x")),(B41+B42-B44)/B47)</f>
        <v>16.204886174347585</v>
      </c>
      <c r="C55" s="41">
        <f t="shared" si="46"/>
        <v>15.045632333767927</v>
      </c>
      <c r="D55" s="41">
        <f t="shared" ref="D55:E55" si="47">IF(D42=0,IF(D54="","","*"&amp;TEXT(D54,"0.0x")),(D41+D42-D44)/D47)</f>
        <v>14.869272586073</v>
      </c>
      <c r="E55" s="41">
        <f t="shared" si="47"/>
        <v>14.304520615996026</v>
      </c>
      <c r="F55" s="41">
        <f t="shared" ref="F55:K55" si="48">IF(F42=0,IF(F54="","","*"&amp;TEXT(F54,"0.0x")),(F41+F42-F44)/F47)</f>
        <v>12.006884176775889</v>
      </c>
      <c r="G55" s="41">
        <f t="shared" si="48"/>
        <v>12.425742574257425</v>
      </c>
      <c r="H55" s="41">
        <f t="shared" si="48"/>
        <v>12.392624728850326</v>
      </c>
      <c r="I55" s="41">
        <f t="shared" si="48"/>
        <v>12.53136511041788</v>
      </c>
      <c r="J55" s="41">
        <f t="shared" si="48"/>
        <v>12.715048454429683</v>
      </c>
      <c r="K55" s="41">
        <f t="shared" si="48"/>
        <v>13.411490301988707</v>
      </c>
      <c r="L55" s="41"/>
      <c r="M55" s="41"/>
      <c r="N55" s="41"/>
      <c r="O55" s="41"/>
      <c r="P55" s="41"/>
      <c r="Q55" s="41" t="str">
        <f t="shared" ref="Q55:S55" si="49">IF(Q42=0,IF(Q54="","",CONCATENATE("* ",Q54,"x")),(Q41+Q42-Q44)/Q47)</f>
        <v/>
      </c>
      <c r="R55" s="41" t="str">
        <f t="shared" si="49"/>
        <v/>
      </c>
      <c r="S55" s="41" t="str">
        <f t="shared" si="49"/>
        <v/>
      </c>
    </row>
    <row r="56" spans="1:19">
      <c r="P56" s="42"/>
    </row>
    <row r="57" spans="1:19" ht="96.6">
      <c r="A57" s="43" t="s">
        <v>84</v>
      </c>
      <c r="B57" s="44" t="s">
        <v>441</v>
      </c>
      <c r="C57" s="44" t="s">
        <v>441</v>
      </c>
      <c r="D57" s="44" t="s">
        <v>441</v>
      </c>
      <c r="E57" s="44" t="s">
        <v>441</v>
      </c>
      <c r="F57" s="44" t="s">
        <v>441</v>
      </c>
      <c r="G57" s="44" t="s">
        <v>529</v>
      </c>
      <c r="H57" s="44" t="s">
        <v>529</v>
      </c>
      <c r="I57" s="44" t="s">
        <v>495</v>
      </c>
      <c r="J57" s="44" t="s">
        <v>496</v>
      </c>
      <c r="K57" s="44" t="s">
        <v>436</v>
      </c>
      <c r="L57" s="44"/>
      <c r="M57" s="44"/>
      <c r="N57" s="44"/>
      <c r="O57" s="44"/>
      <c r="P57" s="44"/>
      <c r="Q57" s="44"/>
      <c r="R57" s="44"/>
      <c r="S57" s="44"/>
    </row>
    <row r="58" spans="1:19">
      <c r="A58" s="45"/>
      <c r="B58" s="42"/>
      <c r="C58" s="42"/>
      <c r="D58" s="42"/>
      <c r="E58" s="42"/>
      <c r="F58" s="42"/>
      <c r="G58" s="42"/>
      <c r="H58" s="42"/>
      <c r="I58" s="42"/>
      <c r="J58" s="42"/>
      <c r="K58" s="42"/>
      <c r="L58" s="42"/>
    </row>
    <row r="59" spans="1:19">
      <c r="A59" s="45"/>
    </row>
  </sheetData>
  <pageMargins left="0.7" right="0.7" top="0.75" bottom="0.75" header="0.3" footer="0.3"/>
  <pageSetup orientation="portrait" r:id="rId1"/>
  <ignoredErrors>
    <ignoredError sqref="H46 E46:G47 C46:D47 B46" formulaRange="1"/>
  </ignoredErrors>
  <legacyDrawing r:id="rId2"/>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2:R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8" width="10.6640625" style="14" customWidth="1"/>
    <col min="19" max="16384" width="9.109375" style="14"/>
  </cols>
  <sheetData>
    <row r="2" spans="1:18">
      <c r="A2" s="13" t="s">
        <v>44</v>
      </c>
      <c r="B2" s="14" t="s">
        <v>409</v>
      </c>
    </row>
    <row r="3" spans="1:18" s="16" customFormat="1">
      <c r="A3" s="15" t="s">
        <v>45</v>
      </c>
      <c r="B3" s="16" t="s">
        <v>342</v>
      </c>
    </row>
    <row r="4" spans="1:18">
      <c r="A4" s="13" t="s">
        <v>2</v>
      </c>
      <c r="B4" s="14" t="s">
        <v>493</v>
      </c>
    </row>
    <row r="5" spans="1:18">
      <c r="A5" s="13" t="s">
        <v>46</v>
      </c>
    </row>
    <row r="6" spans="1:18">
      <c r="A6" s="13" t="s">
        <v>47</v>
      </c>
    </row>
    <row r="7" spans="1:18">
      <c r="A7" s="13" t="s">
        <v>48</v>
      </c>
      <c r="B7" s="14" t="s">
        <v>258</v>
      </c>
    </row>
    <row r="8" spans="1:18">
      <c r="A8" s="13" t="s">
        <v>347</v>
      </c>
      <c r="B8" s="14" t="s">
        <v>352</v>
      </c>
    </row>
    <row r="9" spans="1:18">
      <c r="A9" s="17"/>
    </row>
    <row r="10" spans="1:18">
      <c r="A10" s="17" t="s">
        <v>49</v>
      </c>
      <c r="B10" s="18">
        <v>44286</v>
      </c>
      <c r="C10" s="18">
        <v>44196</v>
      </c>
      <c r="D10" s="18">
        <v>44104</v>
      </c>
      <c r="E10" s="18">
        <v>44012</v>
      </c>
      <c r="F10" s="18">
        <v>43921</v>
      </c>
      <c r="G10" s="18">
        <v>43830</v>
      </c>
      <c r="H10" s="18">
        <v>43738</v>
      </c>
      <c r="I10" s="18">
        <v>43646</v>
      </c>
      <c r="J10" s="18">
        <v>43555</v>
      </c>
      <c r="K10" s="18">
        <v>43465</v>
      </c>
      <c r="L10" s="18">
        <v>43373</v>
      </c>
      <c r="M10" s="18">
        <f>EOMONTH(L10,-3)</f>
        <v>43281</v>
      </c>
      <c r="N10" s="18">
        <f t="shared" ref="N10:R10" si="0">EOMONTH(M10,-3)</f>
        <v>43190</v>
      </c>
      <c r="O10" s="18">
        <f t="shared" si="0"/>
        <v>43100</v>
      </c>
      <c r="P10" s="18">
        <f t="shared" si="0"/>
        <v>43008</v>
      </c>
      <c r="Q10" s="18">
        <f t="shared" si="0"/>
        <v>42916</v>
      </c>
      <c r="R10" s="18">
        <f t="shared" si="0"/>
        <v>42825</v>
      </c>
    </row>
    <row r="12" spans="1:18">
      <c r="A12" s="19" t="s">
        <v>50</v>
      </c>
      <c r="B12" s="20">
        <v>192.5</v>
      </c>
      <c r="C12" s="20">
        <v>174.1</v>
      </c>
      <c r="D12" s="20">
        <v>157.03100000000001</v>
      </c>
      <c r="E12" s="20">
        <v>153.494</v>
      </c>
      <c r="F12" s="20">
        <v>177.70699999999999</v>
      </c>
      <c r="G12" s="20">
        <v>154.721</v>
      </c>
      <c r="H12" s="20">
        <v>172.46799999999999</v>
      </c>
      <c r="I12" s="20">
        <v>173.392</v>
      </c>
      <c r="J12" s="20">
        <v>170.16200000000001</v>
      </c>
      <c r="K12" s="20">
        <v>174.3</v>
      </c>
      <c r="L12" s="20">
        <v>179.642</v>
      </c>
      <c r="M12" s="20">
        <v>184.959</v>
      </c>
      <c r="N12" s="20">
        <v>171.28</v>
      </c>
      <c r="O12" s="20">
        <v>158.5</v>
      </c>
      <c r="P12" s="20">
        <v>154.22499999999999</v>
      </c>
      <c r="Q12" s="20">
        <v>146.71700000000001</v>
      </c>
      <c r="R12" s="20">
        <v>140.49700000000001</v>
      </c>
    </row>
    <row r="13" spans="1:18" s="21" customFormat="1">
      <c r="A13" s="21" t="s">
        <v>51</v>
      </c>
      <c r="B13" s="21">
        <f t="shared" ref="B13:K13" si="1">+B12/F12-1</f>
        <v>8.3243766424507815E-2</v>
      </c>
      <c r="C13" s="21">
        <f t="shared" si="1"/>
        <v>0.12525125871730403</v>
      </c>
      <c r="D13" s="21">
        <f t="shared" si="1"/>
        <v>-8.9506459169237051E-2</v>
      </c>
      <c r="E13" s="21">
        <f t="shared" si="1"/>
        <v>-0.11475731290947677</v>
      </c>
      <c r="F13" s="21">
        <f t="shared" si="1"/>
        <v>4.4340099434656333E-2</v>
      </c>
      <c r="G13" s="21">
        <f t="shared" si="1"/>
        <v>-0.11232931726907636</v>
      </c>
      <c r="H13" s="21">
        <f t="shared" si="1"/>
        <v>-3.9934981797129843E-2</v>
      </c>
      <c r="I13" s="21">
        <f t="shared" si="1"/>
        <v>-6.2538184138106301E-2</v>
      </c>
      <c r="J13" s="21">
        <f t="shared" si="1"/>
        <v>-6.5273236805231116E-3</v>
      </c>
      <c r="K13" s="21">
        <f t="shared" si="1"/>
        <v>9.9684542586750968E-2</v>
      </c>
    </row>
    <row r="14" spans="1:18" s="24" customFormat="1">
      <c r="A14" s="22" t="s">
        <v>52</v>
      </c>
      <c r="B14" s="23" t="s">
        <v>3</v>
      </c>
      <c r="C14" s="23" t="s">
        <v>3</v>
      </c>
      <c r="D14" s="23" t="s">
        <v>3</v>
      </c>
      <c r="E14" s="23" t="s">
        <v>3</v>
      </c>
      <c r="F14" s="23" t="s">
        <v>3</v>
      </c>
      <c r="G14" s="23" t="s">
        <v>3</v>
      </c>
      <c r="H14" s="23" t="s">
        <v>3</v>
      </c>
      <c r="I14" s="23" t="s">
        <v>3</v>
      </c>
      <c r="J14" s="23" t="s">
        <v>3</v>
      </c>
      <c r="K14" s="23" t="s">
        <v>3</v>
      </c>
      <c r="L14" s="23"/>
      <c r="M14" s="23"/>
      <c r="N14" s="23"/>
      <c r="O14" s="23"/>
      <c r="P14" s="22"/>
      <c r="Q14" s="22"/>
      <c r="R14" s="22"/>
    </row>
    <row r="16" spans="1:18" s="17" customFormat="1">
      <c r="A16" s="25" t="s">
        <v>53</v>
      </c>
      <c r="B16" s="26">
        <v>39.125</v>
      </c>
      <c r="C16" s="26">
        <v>23.5</v>
      </c>
      <c r="D16" s="26">
        <v>21.62</v>
      </c>
      <c r="E16" s="26">
        <v>24.224</v>
      </c>
      <c r="F16" s="26">
        <v>25.187999999999999</v>
      </c>
      <c r="G16" s="26">
        <v>20.48</v>
      </c>
      <c r="H16" s="26">
        <f>H22-H19-H20-H21</f>
        <v>22.558</v>
      </c>
      <c r="I16" s="26">
        <v>14.919</v>
      </c>
      <c r="J16" s="26">
        <v>23.855</v>
      </c>
      <c r="K16" s="26">
        <v>25.3</v>
      </c>
      <c r="L16" s="26">
        <f>L22-L19-L20-L21</f>
        <v>26.778999999999996</v>
      </c>
      <c r="M16" s="26">
        <v>30.209</v>
      </c>
      <c r="N16" s="26">
        <v>23.911999999999999</v>
      </c>
      <c r="O16" s="26">
        <f>O22-O19-O20-O21</f>
        <v>19.8</v>
      </c>
      <c r="P16" s="26">
        <v>19.398999999999994</v>
      </c>
      <c r="Q16" s="26">
        <v>18.825000000000003</v>
      </c>
      <c r="R16" s="26">
        <v>18.611000000000015</v>
      </c>
    </row>
    <row r="17" spans="1:18" s="21" customFormat="1">
      <c r="A17" s="21" t="s">
        <v>54</v>
      </c>
      <c r="B17" s="21">
        <f t="shared" ref="B17:C17" si="2">+B16/B12</f>
        <v>0.20324675324675326</v>
      </c>
      <c r="C17" s="21">
        <f t="shared" si="2"/>
        <v>0.13497989661114301</v>
      </c>
      <c r="D17" s="21">
        <f t="shared" ref="D17:E17" si="3">+D16/D12</f>
        <v>0.13767982118180486</v>
      </c>
      <c r="E17" s="21">
        <f t="shared" si="3"/>
        <v>0.15781724367076239</v>
      </c>
      <c r="F17" s="21">
        <f t="shared" ref="F17:G17" si="4">+F16/F12</f>
        <v>0.14173892981143119</v>
      </c>
      <c r="G17" s="21">
        <f t="shared" si="4"/>
        <v>0.1323672933861596</v>
      </c>
      <c r="H17" s="21">
        <f t="shared" ref="H17:L17" si="5">+H16/H12</f>
        <v>0.13079527796460794</v>
      </c>
      <c r="I17" s="21">
        <f t="shared" si="5"/>
        <v>8.6042031927655263E-2</v>
      </c>
      <c r="J17" s="21">
        <f t="shared" ref="J17" si="6">+J16/J12</f>
        <v>0.14018993664860543</v>
      </c>
      <c r="K17" s="21">
        <f t="shared" si="5"/>
        <v>0.14515203671830176</v>
      </c>
      <c r="L17" s="21">
        <f t="shared" si="5"/>
        <v>0.14906870330991637</v>
      </c>
      <c r="M17" s="21">
        <f t="shared" ref="M17:R17" si="7">+M16/M12</f>
        <v>0.16332808892781642</v>
      </c>
      <c r="N17" s="21">
        <f t="shared" si="7"/>
        <v>0.13960765997197572</v>
      </c>
      <c r="O17" s="21">
        <f>+O16/O12</f>
        <v>0.12492113564668771</v>
      </c>
      <c r="P17" s="21">
        <f t="shared" si="7"/>
        <v>0.1257837574971632</v>
      </c>
      <c r="Q17" s="21">
        <f t="shared" si="7"/>
        <v>0.12830823967229429</v>
      </c>
      <c r="R17" s="21">
        <f t="shared" si="7"/>
        <v>0.13246546189598363</v>
      </c>
    </row>
    <row r="18" spans="1:18" s="24" customFormat="1"/>
    <row r="19" spans="1:18" s="24" customFormat="1">
      <c r="A19" s="19" t="s">
        <v>55</v>
      </c>
      <c r="B19" s="20">
        <v>0</v>
      </c>
      <c r="C19" s="20">
        <v>0</v>
      </c>
      <c r="D19" s="20">
        <v>0</v>
      </c>
      <c r="E19" s="20">
        <v>0</v>
      </c>
      <c r="F19" s="20">
        <v>0</v>
      </c>
      <c r="G19" s="20">
        <v>0</v>
      </c>
      <c r="H19" s="20">
        <v>1.2450000000000001</v>
      </c>
      <c r="I19" s="20">
        <v>2.9670000000000001</v>
      </c>
      <c r="J19" s="20">
        <v>0</v>
      </c>
      <c r="K19" s="20">
        <v>0</v>
      </c>
      <c r="L19" s="20">
        <v>2.5409999999999999</v>
      </c>
      <c r="M19" s="20">
        <v>1.2470000000000001</v>
      </c>
      <c r="N19" s="20">
        <v>0.80900000000000005</v>
      </c>
      <c r="O19" s="20">
        <v>0</v>
      </c>
      <c r="P19" s="20">
        <v>0.99099999999999999</v>
      </c>
      <c r="Q19" s="20">
        <v>2.1749999999999998</v>
      </c>
      <c r="R19" s="20">
        <v>0.442</v>
      </c>
    </row>
    <row r="20" spans="1:18" s="24" customFormat="1">
      <c r="A20" s="19" t="s">
        <v>56</v>
      </c>
      <c r="B20" s="20">
        <v>0</v>
      </c>
      <c r="C20" s="20">
        <v>0</v>
      </c>
      <c r="D20" s="20">
        <v>0</v>
      </c>
      <c r="E20" s="20">
        <v>0</v>
      </c>
      <c r="F20" s="20">
        <v>0</v>
      </c>
      <c r="G20" s="20">
        <v>0</v>
      </c>
      <c r="H20" s="20">
        <v>0.24099999999999999</v>
      </c>
      <c r="I20" s="20">
        <v>0.22500000000000001</v>
      </c>
      <c r="J20" s="20">
        <v>0</v>
      </c>
      <c r="K20" s="20">
        <v>0</v>
      </c>
      <c r="L20" s="20">
        <v>0.53300000000000003</v>
      </c>
      <c r="M20" s="20">
        <v>0.22700000000000001</v>
      </c>
      <c r="N20" s="20">
        <v>0.253</v>
      </c>
      <c r="O20" s="20">
        <v>0</v>
      </c>
      <c r="P20" s="20">
        <v>1.4139999999999999</v>
      </c>
      <c r="Q20" s="20">
        <v>1.3149999999999999</v>
      </c>
      <c r="R20" s="20">
        <v>-7.0000000000000001E-3</v>
      </c>
    </row>
    <row r="21" spans="1:18" s="24" customFormat="1">
      <c r="A21" s="19" t="s">
        <v>57</v>
      </c>
      <c r="B21" s="20">
        <v>0</v>
      </c>
      <c r="C21" s="20">
        <v>0</v>
      </c>
      <c r="D21" s="20">
        <v>0</v>
      </c>
      <c r="E21" s="20">
        <v>0</v>
      </c>
      <c r="F21" s="20">
        <v>0</v>
      </c>
      <c r="G21" s="20">
        <v>0</v>
      </c>
      <c r="H21" s="20">
        <f>0.145+1.324</f>
        <v>1.4690000000000001</v>
      </c>
      <c r="I21" s="20">
        <f t="shared" ref="I21:Q21" si="8">I22-I16-I19-I20</f>
        <v>6.4089999999999989</v>
      </c>
      <c r="J21" s="20">
        <v>0</v>
      </c>
      <c r="K21" s="20">
        <v>0</v>
      </c>
      <c r="L21" s="20">
        <f>1.295+0.118</f>
        <v>1.4129999999999998</v>
      </c>
      <c r="M21" s="20">
        <f t="shared" si="8"/>
        <v>1.2220000000000013</v>
      </c>
      <c r="N21" s="20">
        <f t="shared" si="8"/>
        <v>1.4340000000000019</v>
      </c>
      <c r="O21" s="20">
        <v>0</v>
      </c>
      <c r="P21" s="20">
        <f t="shared" si="8"/>
        <v>0.61099999999999821</v>
      </c>
      <c r="Q21" s="20">
        <f t="shared" si="8"/>
        <v>-0.2440000000000011</v>
      </c>
      <c r="R21" s="20">
        <f>R22-R16-R19-R20</f>
        <v>0.55499999999999849</v>
      </c>
    </row>
    <row r="22" spans="1:18" s="17" customFormat="1">
      <c r="A22" s="17" t="s">
        <v>58</v>
      </c>
      <c r="B22" s="27">
        <f t="shared" ref="B22:G22" si="9">B16+B19+B20+B21</f>
        <v>39.125</v>
      </c>
      <c r="C22" s="27">
        <f t="shared" si="9"/>
        <v>23.5</v>
      </c>
      <c r="D22" s="27">
        <f t="shared" si="9"/>
        <v>21.62</v>
      </c>
      <c r="E22" s="27">
        <f t="shared" si="9"/>
        <v>24.224</v>
      </c>
      <c r="F22" s="27">
        <f t="shared" si="9"/>
        <v>25.187999999999999</v>
      </c>
      <c r="G22" s="27">
        <f t="shared" si="9"/>
        <v>20.48</v>
      </c>
      <c r="H22" s="27">
        <v>25.513000000000002</v>
      </c>
      <c r="I22" s="27">
        <v>24.52</v>
      </c>
      <c r="J22" s="27">
        <f>J16+J19+J20+J21</f>
        <v>23.855</v>
      </c>
      <c r="K22" s="27">
        <f>K16+K19+K20+K21</f>
        <v>25.3</v>
      </c>
      <c r="L22" s="27">
        <v>31.265999999999998</v>
      </c>
      <c r="M22" s="27">
        <v>32.905000000000001</v>
      </c>
      <c r="N22" s="27">
        <v>26.408000000000001</v>
      </c>
      <c r="O22" s="27">
        <v>19.8</v>
      </c>
      <c r="P22" s="27">
        <v>22.414999999999992</v>
      </c>
      <c r="Q22" s="27">
        <v>22.071000000000002</v>
      </c>
      <c r="R22" s="27">
        <v>19.601000000000013</v>
      </c>
    </row>
    <row r="23" spans="1:18" s="17" customFormat="1">
      <c r="B23" s="27"/>
      <c r="C23" s="27"/>
      <c r="D23" s="27"/>
      <c r="E23" s="27"/>
      <c r="F23" s="27"/>
      <c r="G23" s="27"/>
      <c r="H23" s="27"/>
      <c r="I23" s="27"/>
      <c r="J23" s="27"/>
      <c r="K23" s="27"/>
      <c r="L23" s="27"/>
      <c r="M23" s="27"/>
      <c r="N23" s="27"/>
      <c r="O23" s="27"/>
      <c r="P23" s="27"/>
      <c r="Q23" s="27"/>
      <c r="R23" s="27"/>
    </row>
    <row r="24" spans="1:18" s="17" customFormat="1">
      <c r="A24" s="17" t="s">
        <v>59</v>
      </c>
      <c r="B24" s="27">
        <f t="shared" ref="B24:O24" si="10">SUM(B22:E22)</f>
        <v>108.46900000000001</v>
      </c>
      <c r="C24" s="27">
        <f t="shared" si="10"/>
        <v>94.532000000000011</v>
      </c>
      <c r="D24" s="27">
        <f t="shared" si="10"/>
        <v>91.512</v>
      </c>
      <c r="E24" s="27">
        <f t="shared" si="10"/>
        <v>95.405000000000001</v>
      </c>
      <c r="F24" s="27">
        <f t="shared" si="10"/>
        <v>95.700999999999993</v>
      </c>
      <c r="G24" s="27">
        <f t="shared" si="10"/>
        <v>94.368000000000009</v>
      </c>
      <c r="H24" s="27">
        <f t="shared" si="10"/>
        <v>99.188000000000002</v>
      </c>
      <c r="I24" s="27">
        <f t="shared" si="10"/>
        <v>104.941</v>
      </c>
      <c r="J24" s="27">
        <f t="shared" si="10"/>
        <v>113.32599999999999</v>
      </c>
      <c r="K24" s="27">
        <f t="shared" si="10"/>
        <v>115.879</v>
      </c>
      <c r="L24" s="27">
        <f t="shared" si="10"/>
        <v>110.37899999999999</v>
      </c>
      <c r="M24" s="27">
        <f t="shared" si="10"/>
        <v>101.52799999999999</v>
      </c>
      <c r="N24" s="27">
        <f t="shared" si="10"/>
        <v>90.693999999999988</v>
      </c>
      <c r="O24" s="27">
        <f t="shared" si="10"/>
        <v>83.887</v>
      </c>
      <c r="P24" s="27"/>
      <c r="Q24" s="27"/>
      <c r="R24" s="27"/>
    </row>
    <row r="25" spans="1:18" s="24" customFormat="1">
      <c r="A25" s="19" t="s">
        <v>60</v>
      </c>
      <c r="B25" s="28">
        <f>107.595-B24</f>
        <v>-0.87400000000000944</v>
      </c>
      <c r="C25" s="28">
        <v>0</v>
      </c>
      <c r="D25" s="28">
        <v>0</v>
      </c>
      <c r="E25" s="28">
        <v>0</v>
      </c>
      <c r="F25" s="28">
        <v>0</v>
      </c>
      <c r="G25" s="28">
        <v>0</v>
      </c>
      <c r="H25" s="28">
        <v>0</v>
      </c>
      <c r="I25" s="28">
        <v>0</v>
      </c>
      <c r="J25" s="28">
        <v>0</v>
      </c>
      <c r="K25" s="28">
        <v>0</v>
      </c>
      <c r="L25" s="28">
        <v>0</v>
      </c>
      <c r="M25" s="28">
        <f>91.6079999999999-M24</f>
        <v>-9.920000000000087</v>
      </c>
      <c r="N25" s="28">
        <f>85.5379999999999-N24</f>
        <v>-5.1560000000000912</v>
      </c>
      <c r="O25" s="28">
        <f>82.1729999999999-O24</f>
        <v>-1.7140000000000981</v>
      </c>
      <c r="P25" s="28"/>
      <c r="Q25" s="28"/>
      <c r="R25" s="28"/>
    </row>
    <row r="26" spans="1:18" s="24" customFormat="1">
      <c r="A26" s="19" t="s">
        <v>61</v>
      </c>
      <c r="B26" s="29">
        <v>0</v>
      </c>
      <c r="C26" s="29">
        <v>0</v>
      </c>
      <c r="D26" s="29">
        <f>91.812-D25-D24</f>
        <v>0.29999999999999716</v>
      </c>
      <c r="E26" s="29">
        <f>96.7-E25-E24</f>
        <v>1.2950000000000017</v>
      </c>
      <c r="F26" s="29">
        <f>98.45-F25-F24</f>
        <v>2.7490000000000094</v>
      </c>
      <c r="G26" s="29">
        <f>98.3-G25-G24</f>
        <v>3.9319999999999879</v>
      </c>
      <c r="H26" s="29">
        <f>105.2-H25-H24</f>
        <v>6.0120000000000005</v>
      </c>
      <c r="I26" s="29">
        <f>113-I25-I24</f>
        <v>8.0589999999999975</v>
      </c>
      <c r="J26" s="29">
        <f>117-J25-J24</f>
        <v>3.6740000000000066</v>
      </c>
      <c r="K26" s="29">
        <f>116.9-K25-K24</f>
        <v>1.0210000000000008</v>
      </c>
      <c r="L26" s="29">
        <f>108.306666666667-L25-L24</f>
        <v>-2.0723333333329919</v>
      </c>
      <c r="M26" s="29">
        <v>0</v>
      </c>
      <c r="N26" s="29">
        <v>0</v>
      </c>
      <c r="O26" s="29">
        <v>0</v>
      </c>
      <c r="P26" s="29"/>
      <c r="Q26" s="30"/>
      <c r="R26" s="30"/>
    </row>
    <row r="27" spans="1:18" s="32" customFormat="1">
      <c r="A27" s="17" t="s">
        <v>62</v>
      </c>
      <c r="B27" s="27">
        <f t="shared" ref="B27:C27" si="11">SUM(B24:B26)</f>
        <v>107.595</v>
      </c>
      <c r="C27" s="27">
        <f t="shared" si="11"/>
        <v>94.532000000000011</v>
      </c>
      <c r="D27" s="27">
        <f t="shared" ref="D27:O27" si="12">SUM(D24:D26)</f>
        <v>91.811999999999998</v>
      </c>
      <c r="E27" s="27">
        <f t="shared" si="12"/>
        <v>96.7</v>
      </c>
      <c r="F27" s="27">
        <f t="shared" si="12"/>
        <v>98.45</v>
      </c>
      <c r="G27" s="27">
        <f t="shared" si="12"/>
        <v>98.3</v>
      </c>
      <c r="H27" s="27">
        <f t="shared" si="12"/>
        <v>105.2</v>
      </c>
      <c r="I27" s="27">
        <f t="shared" si="12"/>
        <v>113</v>
      </c>
      <c r="J27" s="27">
        <f t="shared" si="12"/>
        <v>117</v>
      </c>
      <c r="K27" s="27">
        <f t="shared" si="12"/>
        <v>116.9</v>
      </c>
      <c r="L27" s="27">
        <f t="shared" si="12"/>
        <v>108.306666666667</v>
      </c>
      <c r="M27" s="27">
        <f t="shared" si="12"/>
        <v>91.607999999999905</v>
      </c>
      <c r="N27" s="27">
        <f t="shared" si="12"/>
        <v>85.537999999999897</v>
      </c>
      <c r="O27" s="27">
        <f t="shared" si="12"/>
        <v>82.172999999999902</v>
      </c>
      <c r="P27" s="27"/>
      <c r="Q27" s="31"/>
      <c r="R27" s="31"/>
    </row>
    <row r="28" spans="1:18" s="24" customFormat="1"/>
    <row r="29" spans="1:18" s="17" customFormat="1">
      <c r="A29" s="17" t="s">
        <v>58</v>
      </c>
      <c r="B29" s="27">
        <f t="shared" ref="B29:C29" si="13">B22</f>
        <v>39.125</v>
      </c>
      <c r="C29" s="27">
        <f t="shared" si="13"/>
        <v>23.5</v>
      </c>
      <c r="D29" s="27">
        <f t="shared" ref="D29:R29" si="14">D22</f>
        <v>21.62</v>
      </c>
      <c r="E29" s="27">
        <f t="shared" si="14"/>
        <v>24.224</v>
      </c>
      <c r="F29" s="27">
        <f t="shared" si="14"/>
        <v>25.187999999999999</v>
      </c>
      <c r="G29" s="27">
        <f t="shared" si="14"/>
        <v>20.48</v>
      </c>
      <c r="H29" s="27">
        <f t="shared" si="14"/>
        <v>25.513000000000002</v>
      </c>
      <c r="I29" s="27">
        <f t="shared" si="14"/>
        <v>24.52</v>
      </c>
      <c r="J29" s="27">
        <f t="shared" si="14"/>
        <v>23.855</v>
      </c>
      <c r="K29" s="27">
        <f t="shared" si="14"/>
        <v>25.3</v>
      </c>
      <c r="L29" s="27">
        <f t="shared" si="14"/>
        <v>31.265999999999998</v>
      </c>
      <c r="M29" s="27">
        <f t="shared" si="14"/>
        <v>32.905000000000001</v>
      </c>
      <c r="N29" s="27">
        <f t="shared" si="14"/>
        <v>26.408000000000001</v>
      </c>
      <c r="O29" s="27">
        <f t="shared" si="14"/>
        <v>19.8</v>
      </c>
      <c r="P29" s="27">
        <f t="shared" si="14"/>
        <v>22.414999999999992</v>
      </c>
      <c r="Q29" s="27">
        <f t="shared" si="14"/>
        <v>22.071000000000002</v>
      </c>
      <c r="R29" s="27">
        <f t="shared" si="14"/>
        <v>19.601000000000013</v>
      </c>
    </row>
    <row r="30" spans="1:18" s="33" customFormat="1">
      <c r="A30" s="20" t="s">
        <v>63</v>
      </c>
      <c r="B30" s="20">
        <v>-14.292999999999999</v>
      </c>
      <c r="C30" s="20">
        <v>-9.1790000000000003</v>
      </c>
      <c r="D30" s="20">
        <v>-15.391</v>
      </c>
      <c r="E30" s="20">
        <v>-13.788</v>
      </c>
      <c r="F30" s="20">
        <v>-14.292999999999999</v>
      </c>
      <c r="G30" s="20">
        <f>-59.181+4.196-H30-I30-J30</f>
        <v>-10.31</v>
      </c>
      <c r="H30" s="20">
        <v>-15.518000000000001</v>
      </c>
      <c r="I30" s="20">
        <v>-14.808999999999999</v>
      </c>
      <c r="J30" s="20">
        <v>-14.348000000000001</v>
      </c>
      <c r="K30" s="20">
        <f>-51.429+3.458-L30-M30-N30</f>
        <v>-8.4840000000000018</v>
      </c>
      <c r="L30" s="20">
        <v>-13.893000000000001</v>
      </c>
      <c r="M30" s="20">
        <v>-13.451000000000001</v>
      </c>
      <c r="N30" s="20">
        <v>-12.143000000000001</v>
      </c>
      <c r="O30" s="20">
        <v>-12.227999999999998</v>
      </c>
      <c r="P30" s="20">
        <v>-6.9160000000000004</v>
      </c>
      <c r="Q30" s="20">
        <v>-6.7050000000000001</v>
      </c>
      <c r="R30" s="20">
        <v>-7.1849999999999996</v>
      </c>
    </row>
    <row r="31" spans="1:18" s="33" customFormat="1">
      <c r="A31" s="20" t="s">
        <v>64</v>
      </c>
      <c r="B31" s="20">
        <v>0</v>
      </c>
      <c r="C31" s="20">
        <v>0</v>
      </c>
      <c r="D31" s="20">
        <f>1.026-0.741</f>
        <v>0.28500000000000003</v>
      </c>
      <c r="E31" s="20">
        <f>2.485-6.159</f>
        <v>-3.6739999999999999</v>
      </c>
      <c r="F31" s="20">
        <f>0.826-0.395</f>
        <v>0.43099999999999994</v>
      </c>
      <c r="G31" s="20">
        <f>10.937-15.134-H31-I31-J31</f>
        <v>2.6209999999999987</v>
      </c>
      <c r="H31" s="20">
        <f>1.268-3.224</f>
        <v>-1.9560000000000002</v>
      </c>
      <c r="I31" s="20">
        <f>8.923-11.155</f>
        <v>-2.2319999999999993</v>
      </c>
      <c r="J31" s="20">
        <f>-1.718-0.912</f>
        <v>-2.63</v>
      </c>
      <c r="K31" s="20">
        <f>8.693-14.174-L31-M31-N31</f>
        <v>-1.5189999999999997</v>
      </c>
      <c r="L31" s="20">
        <f>2.179-2.82</f>
        <v>-0.64100000000000001</v>
      </c>
      <c r="M31" s="20">
        <v>-1.1359999999999999</v>
      </c>
      <c r="N31" s="20">
        <v>-2.1850000000000001</v>
      </c>
      <c r="O31" s="20">
        <v>74.828999999999994</v>
      </c>
      <c r="P31" s="20">
        <v>-10.532999999999999</v>
      </c>
      <c r="Q31" s="20">
        <v>-2.0739999999999998</v>
      </c>
      <c r="R31" s="20">
        <v>-1.3029999999999999</v>
      </c>
    </row>
    <row r="32" spans="1:18" s="33" customFormat="1">
      <c r="A32" s="20" t="s">
        <v>65</v>
      </c>
      <c r="B32" s="20">
        <v>-7.5620000000000003</v>
      </c>
      <c r="C32" s="20">
        <v>-5.1849999999999996</v>
      </c>
      <c r="D32" s="20">
        <f>5.669-0.145-0.014</f>
        <v>5.51</v>
      </c>
      <c r="E32" s="20">
        <v>-2.6909999999999998</v>
      </c>
      <c r="F32" s="20">
        <v>2.3660000000000001</v>
      </c>
      <c r="G32" s="20">
        <f>11.085+3.687-3.544+5.819-1.211-16.16+1.638+0.636-H32-I32-J32</f>
        <v>-0.20999999999999908</v>
      </c>
      <c r="H32" s="20">
        <f>7.228+0.052+0.01</f>
        <v>7.2899999999999991</v>
      </c>
      <c r="I32" s="20">
        <v>-0.84399999999999997</v>
      </c>
      <c r="J32" s="20">
        <v>-4.2859999999999996</v>
      </c>
      <c r="K32" s="20">
        <f>-10.08-10.329+17.784-3.837-0.063+7.484-0.486-0.229-L32-M32-N32</f>
        <v>28.909000000000002</v>
      </c>
      <c r="L32" s="20">
        <v>-6.9539999999999997</v>
      </c>
      <c r="M32" s="20">
        <f>-11.651-0.073+0.005</f>
        <v>-11.718999999999999</v>
      </c>
      <c r="N32" s="20">
        <v>-9.9920000000000009</v>
      </c>
      <c r="O32" s="20">
        <v>9.1940000000000026</v>
      </c>
      <c r="P32" s="20">
        <v>0</v>
      </c>
      <c r="Q32" s="20">
        <v>-7.6609999999999978</v>
      </c>
      <c r="R32" s="20">
        <v>-17.445</v>
      </c>
    </row>
    <row r="33" spans="1:18" s="33" customFormat="1">
      <c r="A33" s="20" t="s">
        <v>66</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row>
    <row r="34" spans="1:18" s="33" customFormat="1">
      <c r="A34" s="20" t="s">
        <v>57</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f t="shared" ref="R34" si="15">R35-R29-R30-R31-R32-R33</f>
        <v>0</v>
      </c>
    </row>
    <row r="35" spans="1:18" s="27" customFormat="1">
      <c r="A35" s="27" t="s">
        <v>67</v>
      </c>
      <c r="B35" s="27">
        <v>-1.835</v>
      </c>
      <c r="C35" s="27">
        <f>SUM(C29:C34)</f>
        <v>9.1359999999999992</v>
      </c>
      <c r="D35" s="27">
        <v>8.9550000000000001</v>
      </c>
      <c r="E35" s="27">
        <v>0.72599999999999998</v>
      </c>
      <c r="F35" s="27">
        <v>9.0440000000000005</v>
      </c>
      <c r="G35" s="27">
        <f>19.139-H35-I35-J35</f>
        <v>6.9839999999999991</v>
      </c>
      <c r="H35" s="27">
        <v>13.231</v>
      </c>
      <c r="I35" s="27">
        <v>1.7430000000000001</v>
      </c>
      <c r="J35" s="27">
        <v>-2.819</v>
      </c>
      <c r="K35" s="27">
        <f>28.578-L35-M35-N35</f>
        <v>25.222000000000001</v>
      </c>
      <c r="L35" s="27">
        <v>3.7669999999999999</v>
      </c>
      <c r="M35" s="27">
        <v>1.6619999999999999</v>
      </c>
      <c r="N35" s="27">
        <v>-2.073</v>
      </c>
      <c r="O35" s="27">
        <f t="shared" ref="O35:Q35" si="16">O37-O36</f>
        <v>88.453999999999866</v>
      </c>
      <c r="P35" s="27">
        <f t="shared" si="16"/>
        <v>6.8579999999999917</v>
      </c>
      <c r="Q35" s="27">
        <f t="shared" si="16"/>
        <v>5.6310000000000038</v>
      </c>
      <c r="R35" s="27">
        <f>R37-R36</f>
        <v>-6.3319999999999865</v>
      </c>
    </row>
    <row r="36" spans="1:18" s="33" customFormat="1">
      <c r="A36" s="20" t="s">
        <v>68</v>
      </c>
      <c r="B36" s="29">
        <v>-1.274</v>
      </c>
      <c r="C36" s="29">
        <v>-9.6910000000000007</v>
      </c>
      <c r="D36" s="29">
        <v>-2.069</v>
      </c>
      <c r="E36" s="29">
        <v>-3.53</v>
      </c>
      <c r="F36" s="29">
        <v>-4.2389999999999999</v>
      </c>
      <c r="G36" s="29">
        <f>-21.598-H36-I36-J36</f>
        <v>-4.2389999999999981</v>
      </c>
      <c r="H36" s="29">
        <v>-7.4189999999999996</v>
      </c>
      <c r="I36" s="29">
        <v>-5.4710000000000001</v>
      </c>
      <c r="J36" s="29">
        <v>-4.4690000000000003</v>
      </c>
      <c r="K36" s="29">
        <f>-14.737-L36-M36-N36</f>
        <v>-4.0540000000000003</v>
      </c>
      <c r="L36" s="29">
        <v>-4.1920000000000002</v>
      </c>
      <c r="M36" s="29">
        <v>-4.2459999999999996</v>
      </c>
      <c r="N36" s="29">
        <v>-2.2450000000000001</v>
      </c>
      <c r="O36" s="29">
        <v>-2.9960000000000004</v>
      </c>
      <c r="P36" s="29">
        <v>-2.7149999999999999</v>
      </c>
      <c r="Q36" s="29">
        <v>-2.4700000000000002</v>
      </c>
      <c r="R36" s="29">
        <v>-2.363</v>
      </c>
    </row>
    <row r="37" spans="1:18" s="27" customFormat="1">
      <c r="A37" s="27" t="s">
        <v>69</v>
      </c>
      <c r="B37" s="27">
        <f t="shared" ref="B37:N37" si="17">B35+B36</f>
        <v>-3.109</v>
      </c>
      <c r="C37" s="27">
        <f t="shared" si="17"/>
        <v>-0.55500000000000149</v>
      </c>
      <c r="D37" s="27">
        <f t="shared" si="17"/>
        <v>6.8860000000000001</v>
      </c>
      <c r="E37" s="27">
        <f t="shared" si="17"/>
        <v>-2.8039999999999998</v>
      </c>
      <c r="F37" s="27">
        <f t="shared" si="17"/>
        <v>4.8050000000000006</v>
      </c>
      <c r="G37" s="27">
        <f t="shared" si="17"/>
        <v>2.745000000000001</v>
      </c>
      <c r="H37" s="27">
        <f t="shared" si="17"/>
        <v>5.8120000000000003</v>
      </c>
      <c r="I37" s="27">
        <f t="shared" si="17"/>
        <v>-3.7279999999999998</v>
      </c>
      <c r="J37" s="27">
        <f t="shared" si="17"/>
        <v>-7.2880000000000003</v>
      </c>
      <c r="K37" s="27">
        <f t="shared" si="17"/>
        <v>21.167999999999999</v>
      </c>
      <c r="L37" s="27">
        <f t="shared" si="17"/>
        <v>-0.42500000000000027</v>
      </c>
      <c r="M37" s="27">
        <f t="shared" si="17"/>
        <v>-2.5839999999999996</v>
      </c>
      <c r="N37" s="27">
        <f t="shared" si="17"/>
        <v>-4.3179999999999996</v>
      </c>
      <c r="O37" s="27">
        <v>85.457999999999871</v>
      </c>
      <c r="P37" s="27">
        <v>4.1429999999999918</v>
      </c>
      <c r="Q37" s="27">
        <v>3.1610000000000031</v>
      </c>
      <c r="R37" s="27">
        <v>-8.6949999999999861</v>
      </c>
    </row>
    <row r="39" spans="1:18" s="35" customFormat="1">
      <c r="A39" s="34" t="s">
        <v>70</v>
      </c>
      <c r="B39" s="20">
        <v>15</v>
      </c>
      <c r="C39" s="20">
        <v>19</v>
      </c>
      <c r="D39" s="20">
        <v>19</v>
      </c>
      <c r="E39" s="20">
        <v>26.248999999999999</v>
      </c>
      <c r="F39" s="20">
        <v>73.748999999999995</v>
      </c>
      <c r="G39" s="20">
        <v>10</v>
      </c>
      <c r="H39" s="20">
        <f>I39</f>
        <v>10</v>
      </c>
      <c r="I39" s="20">
        <v>10</v>
      </c>
      <c r="J39" s="20">
        <f>10+0</f>
        <v>10</v>
      </c>
      <c r="K39" s="20">
        <v>0</v>
      </c>
      <c r="L39" s="20">
        <v>0</v>
      </c>
      <c r="M39" s="20"/>
      <c r="N39" s="20"/>
      <c r="O39" s="20"/>
      <c r="P39" s="20"/>
      <c r="Q39" s="20"/>
      <c r="R39" s="20"/>
    </row>
    <row r="40" spans="1:18" s="35" customFormat="1">
      <c r="A40" s="34" t="s">
        <v>71</v>
      </c>
      <c r="B40" s="20">
        <v>613.548</v>
      </c>
      <c r="C40" s="20">
        <v>616.71699999999998</v>
      </c>
      <c r="D40" s="20">
        <v>616.71699999999998</v>
      </c>
      <c r="E40" s="20">
        <v>618.303</v>
      </c>
      <c r="F40" s="20">
        <f>619.889+0.557</f>
        <v>620.44600000000003</v>
      </c>
      <c r="G40" s="20">
        <f>621.474+12.722</f>
        <v>634.19600000000003</v>
      </c>
      <c r="H40" s="20">
        <f>I40-1.585</f>
        <v>621.53899999999999</v>
      </c>
      <c r="I40" s="20">
        <v>623.12400000000002</v>
      </c>
      <c r="J40" s="20">
        <f>601+33</f>
        <v>634</v>
      </c>
      <c r="K40" s="20">
        <v>602.75300000000004</v>
      </c>
      <c r="L40" s="20">
        <v>604</v>
      </c>
      <c r="M40" s="20"/>
      <c r="N40" s="20"/>
      <c r="O40" s="20"/>
      <c r="P40" s="20"/>
      <c r="Q40" s="20"/>
      <c r="R40" s="20"/>
    </row>
    <row r="41" spans="1:18" s="35" customFormat="1">
      <c r="A41" s="34" t="s">
        <v>72</v>
      </c>
      <c r="B41" s="20">
        <f t="shared" ref="B41:G41" si="18">B39+B40+150</f>
        <v>778.548</v>
      </c>
      <c r="C41" s="20">
        <f t="shared" si="18"/>
        <v>785.71699999999998</v>
      </c>
      <c r="D41" s="20">
        <f t="shared" si="18"/>
        <v>785.71699999999998</v>
      </c>
      <c r="E41" s="20">
        <f t="shared" si="18"/>
        <v>794.55200000000002</v>
      </c>
      <c r="F41" s="20">
        <f t="shared" si="18"/>
        <v>844.19500000000005</v>
      </c>
      <c r="G41" s="20">
        <f t="shared" si="18"/>
        <v>794.19600000000003</v>
      </c>
      <c r="H41" s="20">
        <f>H39+H40+150+0.646+2.5-0.87</f>
        <v>783.81499999999994</v>
      </c>
      <c r="I41" s="20">
        <f>I39+I40+150+0.646</f>
        <v>783.77</v>
      </c>
      <c r="J41" s="20">
        <f>J39+J40+150+1</f>
        <v>795</v>
      </c>
      <c r="K41" s="20">
        <f>K39+K40+150+1.24</f>
        <v>753.99300000000005</v>
      </c>
      <c r="L41" s="20">
        <f>L39+L40+150+1</f>
        <v>755</v>
      </c>
      <c r="M41" s="20"/>
      <c r="N41" s="20"/>
      <c r="O41" s="20"/>
      <c r="P41" s="20"/>
      <c r="Q41" s="20"/>
      <c r="R41" s="20"/>
    </row>
    <row r="42" spans="1:18" s="35" customFormat="1">
      <c r="A42" s="34" t="s">
        <v>73</v>
      </c>
      <c r="B42" s="36">
        <v>312</v>
      </c>
      <c r="C42" s="36">
        <v>312</v>
      </c>
      <c r="D42" s="36">
        <v>312</v>
      </c>
      <c r="E42" s="36">
        <v>312</v>
      </c>
      <c r="F42" s="36">
        <v>312</v>
      </c>
      <c r="G42" s="36">
        <v>312</v>
      </c>
      <c r="H42" s="36">
        <v>312</v>
      </c>
      <c r="I42" s="36">
        <v>312</v>
      </c>
      <c r="J42" s="36">
        <v>312</v>
      </c>
      <c r="K42" s="36">
        <v>312</v>
      </c>
      <c r="L42" s="36">
        <v>312</v>
      </c>
      <c r="M42" s="36"/>
      <c r="N42" s="36"/>
      <c r="O42" s="36"/>
      <c r="P42" s="36"/>
      <c r="Q42" s="36"/>
      <c r="R42" s="36"/>
    </row>
    <row r="43" spans="1:18">
      <c r="B43" s="35"/>
      <c r="C43" s="35"/>
      <c r="D43" s="35"/>
      <c r="E43" s="35"/>
      <c r="F43" s="35"/>
      <c r="G43" s="35"/>
      <c r="H43" s="35"/>
      <c r="I43" s="35"/>
      <c r="J43" s="35"/>
      <c r="K43" s="35"/>
      <c r="L43" s="35"/>
      <c r="M43" s="35"/>
      <c r="N43" s="35"/>
    </row>
    <row r="44" spans="1:18">
      <c r="A44" s="19" t="s">
        <v>74</v>
      </c>
      <c r="B44" s="28">
        <v>26.571999999999999</v>
      </c>
      <c r="C44" s="28">
        <v>39.783000000000001</v>
      </c>
      <c r="D44" s="28">
        <v>39.783000000000001</v>
      </c>
      <c r="E44" s="28">
        <v>41.179000000000002</v>
      </c>
      <c r="F44" s="28">
        <f>88.259-1.798</f>
        <v>86.460999999999999</v>
      </c>
      <c r="G44" s="28">
        <v>20.928999999999998</v>
      </c>
      <c r="H44" s="28">
        <v>22.271000000000001</v>
      </c>
      <c r="I44" s="28">
        <v>17.693999999999999</v>
      </c>
      <c r="J44" s="28">
        <f>18+3</f>
        <v>21</v>
      </c>
      <c r="K44" s="28">
        <v>17.917999999999999</v>
      </c>
      <c r="L44" s="28">
        <v>20</v>
      </c>
      <c r="M44" s="28"/>
      <c r="N44" s="28"/>
      <c r="O44" s="28"/>
      <c r="P44" s="28"/>
      <c r="Q44" s="57"/>
      <c r="R44" s="57"/>
    </row>
    <row r="46" spans="1:18">
      <c r="A46" s="14" t="s">
        <v>75</v>
      </c>
      <c r="B46" s="58">
        <f t="shared" ref="B46:I46" si="19">SUM(B12:E12)</f>
        <v>677.12500000000011</v>
      </c>
      <c r="C46" s="58">
        <f t="shared" si="19"/>
        <v>662.33199999999999</v>
      </c>
      <c r="D46" s="58">
        <f t="shared" si="19"/>
        <v>642.95299999999997</v>
      </c>
      <c r="E46" s="58">
        <f t="shared" si="19"/>
        <v>658.39</v>
      </c>
      <c r="F46" s="58">
        <f t="shared" si="19"/>
        <v>678.28800000000001</v>
      </c>
      <c r="G46" s="58">
        <f t="shared" si="19"/>
        <v>670.74299999999994</v>
      </c>
      <c r="H46" s="58">
        <f t="shared" si="19"/>
        <v>690.32200000000012</v>
      </c>
      <c r="I46" s="58">
        <f t="shared" si="19"/>
        <v>697.49600000000009</v>
      </c>
      <c r="J46" s="58">
        <f>K46+J12-N12</f>
        <v>686.38200000000006</v>
      </c>
      <c r="K46" s="51">
        <v>687.5</v>
      </c>
      <c r="L46" s="33">
        <f>SUM(L12:O12)</f>
        <v>694.38099999999997</v>
      </c>
      <c r="M46" s="33"/>
      <c r="N46" s="33"/>
      <c r="O46" s="33"/>
      <c r="P46" s="33"/>
    </row>
    <row r="47" spans="1:18">
      <c r="A47" s="14" t="s">
        <v>76</v>
      </c>
      <c r="B47" s="33">
        <f t="shared" ref="B47" si="20">+B27</f>
        <v>107.595</v>
      </c>
      <c r="C47" s="33">
        <f t="shared" ref="C47:D47" si="21">+C27</f>
        <v>94.532000000000011</v>
      </c>
      <c r="D47" s="33">
        <f t="shared" si="21"/>
        <v>91.811999999999998</v>
      </c>
      <c r="E47" s="33">
        <f t="shared" ref="E47:F47" si="22">+E27</f>
        <v>96.7</v>
      </c>
      <c r="F47" s="33">
        <f t="shared" si="22"/>
        <v>98.45</v>
      </c>
      <c r="G47" s="33">
        <f t="shared" ref="G47:L47" si="23">+G27</f>
        <v>98.3</v>
      </c>
      <c r="H47" s="33">
        <f t="shared" si="23"/>
        <v>105.2</v>
      </c>
      <c r="I47" s="33">
        <f t="shared" si="23"/>
        <v>113</v>
      </c>
      <c r="J47" s="33">
        <f t="shared" si="23"/>
        <v>117</v>
      </c>
      <c r="K47" s="33">
        <f t="shared" si="23"/>
        <v>116.9</v>
      </c>
      <c r="L47" s="33">
        <f t="shared" si="23"/>
        <v>108.306666666667</v>
      </c>
      <c r="M47" s="33"/>
      <c r="N47" s="33"/>
      <c r="O47" s="33"/>
      <c r="P47" s="33"/>
    </row>
    <row r="48" spans="1:18">
      <c r="A48" s="14" t="s">
        <v>77</v>
      </c>
      <c r="B48" s="33">
        <f t="shared" ref="B48:L48" si="24">+SUM(B37:E37)</f>
        <v>0.41799999999999882</v>
      </c>
      <c r="C48" s="33">
        <f t="shared" si="24"/>
        <v>8.331999999999999</v>
      </c>
      <c r="D48" s="33">
        <f t="shared" si="24"/>
        <v>11.632000000000001</v>
      </c>
      <c r="E48" s="33">
        <f t="shared" si="24"/>
        <v>10.558000000000003</v>
      </c>
      <c r="F48" s="33">
        <f t="shared" si="24"/>
        <v>9.6340000000000021</v>
      </c>
      <c r="G48" s="33">
        <f t="shared" si="24"/>
        <v>-2.4589999999999979</v>
      </c>
      <c r="H48" s="33">
        <f t="shared" si="24"/>
        <v>15.963999999999999</v>
      </c>
      <c r="I48" s="33">
        <f t="shared" si="24"/>
        <v>9.7269999999999985</v>
      </c>
      <c r="J48" s="33">
        <f t="shared" si="24"/>
        <v>10.870999999999999</v>
      </c>
      <c r="K48" s="33">
        <f t="shared" si="24"/>
        <v>13.840999999999999</v>
      </c>
      <c r="L48" s="33">
        <f t="shared" si="24"/>
        <v>78.130999999999872</v>
      </c>
      <c r="M48" s="33"/>
      <c r="N48" s="33"/>
      <c r="O48" s="33"/>
      <c r="P48" s="33"/>
    </row>
    <row r="49" spans="1:18">
      <c r="K49" s="130"/>
    </row>
    <row r="50" spans="1:18" s="37" customFormat="1">
      <c r="A50" s="37" t="s">
        <v>78</v>
      </c>
      <c r="B50" s="37">
        <f t="shared" ref="B50" si="25">+SUM(B39:B40)/B47</f>
        <v>5.8417956224731631</v>
      </c>
      <c r="C50" s="37">
        <f t="shared" ref="C50:D50" si="26">+SUM(C39:C40)/C47</f>
        <v>6.7248868108153843</v>
      </c>
      <c r="D50" s="37">
        <f t="shared" si="26"/>
        <v>6.9241166732017598</v>
      </c>
      <c r="E50" s="37">
        <f t="shared" ref="E50:F50" si="27">+SUM(E39:E40)/E47</f>
        <v>6.665480868665977</v>
      </c>
      <c r="F50" s="37">
        <f t="shared" si="27"/>
        <v>7.0512442864398173</v>
      </c>
      <c r="G50" s="37">
        <f t="shared" ref="G50:L50" si="28">+SUM(G39:G40)/G47</f>
        <v>6.5533672431332661</v>
      </c>
      <c r="H50" s="37">
        <f t="shared" si="28"/>
        <v>6.0032224334600759</v>
      </c>
      <c r="I50" s="37">
        <f t="shared" si="28"/>
        <v>5.6028672566371682</v>
      </c>
      <c r="J50" s="37">
        <f t="shared" si="28"/>
        <v>5.5042735042735043</v>
      </c>
      <c r="K50" s="37">
        <f t="shared" si="28"/>
        <v>5.1561420017108643</v>
      </c>
      <c r="L50" s="37">
        <f t="shared" si="28"/>
        <v>5.5767573556567598</v>
      </c>
    </row>
    <row r="51" spans="1:18" s="37" customFormat="1">
      <c r="A51" s="37" t="s">
        <v>79</v>
      </c>
      <c r="B51" s="37">
        <f t="shared" ref="B51" si="29">+B41/B47</f>
        <v>7.2359124494632647</v>
      </c>
      <c r="C51" s="37">
        <f t="shared" ref="C51:D51" si="30">+C41/C47</f>
        <v>8.3116510811153876</v>
      </c>
      <c r="D51" s="37">
        <f t="shared" si="30"/>
        <v>8.5578900361608508</v>
      </c>
      <c r="E51" s="37">
        <f t="shared" ref="E51:F51" si="31">+E41/E47</f>
        <v>8.216670113753878</v>
      </c>
      <c r="F51" s="37">
        <f t="shared" si="31"/>
        <v>8.574860335195531</v>
      </c>
      <c r="G51" s="37">
        <f t="shared" ref="G51:L51" si="32">+G41/G47</f>
        <v>8.0793082400813834</v>
      </c>
      <c r="H51" s="37">
        <f t="shared" si="32"/>
        <v>7.4507129277566531</v>
      </c>
      <c r="I51" s="37">
        <f t="shared" si="32"/>
        <v>6.9360176991150437</v>
      </c>
      <c r="J51" s="37">
        <f t="shared" si="32"/>
        <v>6.7948717948717947</v>
      </c>
      <c r="K51" s="37">
        <f t="shared" si="32"/>
        <v>6.4498973481608211</v>
      </c>
      <c r="L51" s="37">
        <f t="shared" si="32"/>
        <v>6.9709466945709497</v>
      </c>
    </row>
    <row r="52" spans="1:18" s="37" customFormat="1">
      <c r="A52" s="37" t="s">
        <v>80</v>
      </c>
      <c r="B52" s="37">
        <f t="shared" ref="B52" si="33">+(B41-B44)/B47</f>
        <v>6.9889493006180583</v>
      </c>
      <c r="C52" s="37">
        <f t="shared" ref="C52:D52" si="34">+(C41-C44)/C47</f>
        <v>7.8908094613464215</v>
      </c>
      <c r="D52" s="37">
        <f t="shared" si="34"/>
        <v>8.1245806648368397</v>
      </c>
      <c r="E52" s="37">
        <f t="shared" ref="E52:F52" si="35">+(E41-E44)/E47</f>
        <v>7.7908273009307134</v>
      </c>
      <c r="F52" s="37">
        <f t="shared" si="35"/>
        <v>7.6966378872524128</v>
      </c>
      <c r="G52" s="37">
        <f t="shared" ref="G52:L52" si="36">+(G41-G44)/G47</f>
        <v>7.866398779247203</v>
      </c>
      <c r="H52" s="37">
        <f t="shared" si="36"/>
        <v>7.2390114068441065</v>
      </c>
      <c r="I52" s="37">
        <f t="shared" si="36"/>
        <v>6.7794336283185839</v>
      </c>
      <c r="J52" s="37">
        <f t="shared" si="36"/>
        <v>6.615384615384615</v>
      </c>
      <c r="K52" s="37">
        <f t="shared" si="36"/>
        <v>6.2966210436270318</v>
      </c>
      <c r="L52" s="37">
        <f t="shared" si="36"/>
        <v>6.7862858549796661</v>
      </c>
    </row>
    <row r="53" spans="1:18" s="38" customFormat="1">
      <c r="A53" s="38" t="s">
        <v>81</v>
      </c>
      <c r="B53" s="38">
        <f t="shared" ref="B53" si="37">+B48/B41</f>
        <v>5.3689689010825124E-4</v>
      </c>
      <c r="C53" s="38">
        <f t="shared" ref="C53:D53" si="38">+C48/C41</f>
        <v>1.0604327003233988E-2</v>
      </c>
      <c r="D53" s="38">
        <f t="shared" si="38"/>
        <v>1.4804312494193204E-2</v>
      </c>
      <c r="E53" s="38">
        <f t="shared" ref="E53:F53" si="39">+E48/E41</f>
        <v>1.3287991220209631E-2</v>
      </c>
      <c r="F53" s="38">
        <f t="shared" si="39"/>
        <v>1.1412055271590097E-2</v>
      </c>
      <c r="G53" s="38">
        <f t="shared" ref="G53:L53" si="40">+G48/G41</f>
        <v>-3.0962130254999997E-3</v>
      </c>
      <c r="H53" s="38">
        <f t="shared" si="40"/>
        <v>2.0367050898490079E-2</v>
      </c>
      <c r="I53" s="38">
        <f t="shared" si="40"/>
        <v>1.2410528598951221E-2</v>
      </c>
      <c r="J53" s="38">
        <f t="shared" si="40"/>
        <v>1.3674213836477985E-2</v>
      </c>
      <c r="K53" s="38">
        <f t="shared" si="40"/>
        <v>1.8356934348196866E-2</v>
      </c>
      <c r="L53" s="38">
        <f t="shared" si="40"/>
        <v>0.10348476821192036</v>
      </c>
    </row>
    <row r="54" spans="1:18" s="38" customFormat="1">
      <c r="A54" s="39" t="s">
        <v>82</v>
      </c>
      <c r="B54" s="40"/>
      <c r="C54" s="40"/>
      <c r="D54" s="40"/>
      <c r="E54" s="40"/>
      <c r="F54" s="40"/>
      <c r="G54" s="40"/>
      <c r="H54" s="40"/>
      <c r="I54" s="40"/>
      <c r="J54" s="40"/>
      <c r="K54" s="40"/>
      <c r="L54" s="40"/>
      <c r="M54" s="40"/>
      <c r="N54" s="40"/>
      <c r="O54" s="40"/>
      <c r="P54" s="40"/>
      <c r="Q54" s="39"/>
      <c r="R54" s="39"/>
    </row>
    <row r="55" spans="1:18" s="38" customFormat="1">
      <c r="A55" s="38" t="s">
        <v>83</v>
      </c>
      <c r="B55" s="41">
        <f t="shared" ref="B55" si="41">IF(B42=0,IF(B54="","","*"&amp;TEXT(B54,"0.0x")),(B41+B42-B44)/B47)</f>
        <v>9.8887123007574704</v>
      </c>
      <c r="C55" s="41">
        <f t="shared" ref="C55:D55" si="42">IF(C42=0,IF(C54="","","*"&amp;TEXT(C54,"0.0x")),(C41+C42-C44)/C47)</f>
        <v>11.191279143570432</v>
      </c>
      <c r="D55" s="41">
        <f t="shared" si="42"/>
        <v>11.522829259791751</v>
      </c>
      <c r="E55" s="41">
        <f t="shared" ref="E55:F55" si="43">IF(E42=0,IF(E54="","","*"&amp;TEXT(E54,"0.0x")),(E41+E42-E44)/E47)</f>
        <v>11.017300930713548</v>
      </c>
      <c r="F55" s="41">
        <f t="shared" si="43"/>
        <v>10.865759268664299</v>
      </c>
      <c r="G55" s="41">
        <f t="shared" ref="G55:L55" si="44">IF(G42=0,IF(G54="","","*"&amp;TEXT(G54,"0.0x")),(G41+G42-G44)/G47)</f>
        <v>11.040356052899286</v>
      </c>
      <c r="H55" s="41">
        <f t="shared" si="44"/>
        <v>10.204790874524715</v>
      </c>
      <c r="I55" s="41">
        <f t="shared" si="44"/>
        <v>9.5404955752212395</v>
      </c>
      <c r="J55" s="41">
        <f t="shared" si="44"/>
        <v>9.2820512820512828</v>
      </c>
      <c r="K55" s="41">
        <f t="shared" si="44"/>
        <v>8.9655688622754486</v>
      </c>
      <c r="L55" s="41">
        <f t="shared" si="44"/>
        <v>9.6669949526036874</v>
      </c>
      <c r="M55" s="41"/>
      <c r="N55" s="41"/>
      <c r="O55" s="41"/>
      <c r="P55" s="41"/>
      <c r="Q55" s="41" t="str">
        <f>IF(Q42=0,IF(Q54="","",CONCATENATE("* ",Q54,"x")),(Q41+Q42-Q44)/Q47)</f>
        <v/>
      </c>
      <c r="R55" s="41" t="str">
        <f>IF(R42=0,IF(R54="","",CONCATENATE("* ",R54,"x")),(R41+R42-R44)/R47)</f>
        <v/>
      </c>
    </row>
    <row r="56" spans="1:18">
      <c r="P56" s="42"/>
    </row>
    <row r="57" spans="1:18" ht="80.25" customHeight="1">
      <c r="A57" s="43" t="s">
        <v>84</v>
      </c>
      <c r="B57" s="44" t="s">
        <v>90</v>
      </c>
      <c r="C57" s="44" t="s">
        <v>90</v>
      </c>
      <c r="D57" s="44" t="s">
        <v>423</v>
      </c>
      <c r="E57" s="44" t="s">
        <v>423</v>
      </c>
      <c r="F57" s="44" t="s">
        <v>423</v>
      </c>
      <c r="G57" s="44" t="s">
        <v>423</v>
      </c>
      <c r="H57" s="44" t="s">
        <v>423</v>
      </c>
      <c r="I57" s="44" t="s">
        <v>423</v>
      </c>
      <c r="J57" s="44" t="s">
        <v>444</v>
      </c>
      <c r="K57" s="44" t="s">
        <v>90</v>
      </c>
      <c r="L57" s="44" t="s">
        <v>90</v>
      </c>
      <c r="M57" s="44"/>
      <c r="N57" s="44"/>
      <c r="O57" s="44"/>
      <c r="P57" s="44"/>
      <c r="Q57" s="44"/>
      <c r="R57" s="44"/>
    </row>
    <row r="58" spans="1:18">
      <c r="A58" s="45"/>
      <c r="B58" s="42"/>
      <c r="C58" s="42"/>
      <c r="D58" s="42"/>
      <c r="E58" s="42"/>
      <c r="F58" s="42"/>
      <c r="G58" s="42"/>
      <c r="H58" s="42"/>
      <c r="I58" s="42"/>
      <c r="J58" s="42"/>
      <c r="K58" s="42"/>
      <c r="L58" s="42"/>
    </row>
    <row r="59" spans="1:18">
      <c r="A59" s="45"/>
    </row>
  </sheetData>
  <pageMargins left="0.7" right="0.7" top="0.75" bottom="0.75" header="0.3" footer="0.3"/>
  <pageSetup orientation="portrait" r:id="rId1"/>
  <ignoredErrors>
    <ignoredError sqref="L24:O24 L46:L48 K47:K48 J24:K25 H46:I46 H24:I24 G46:G47 F46:F47 D48:F49 D46:E47" formulaRange="1"/>
  </ignoredErrors>
  <legacyDrawing r:id="rId2"/>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2:O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5" width="10.6640625" style="14" customWidth="1"/>
    <col min="16" max="16384" width="9.109375" style="14"/>
  </cols>
  <sheetData>
    <row r="2" spans="1:15">
      <c r="A2" s="13" t="s">
        <v>44</v>
      </c>
      <c r="B2" s="14" t="s">
        <v>416</v>
      </c>
    </row>
    <row r="3" spans="1:15" s="16" customFormat="1">
      <c r="A3" s="15" t="s">
        <v>45</v>
      </c>
      <c r="B3" s="16" t="s">
        <v>417</v>
      </c>
    </row>
    <row r="4" spans="1:15">
      <c r="A4" s="13" t="s">
        <v>2</v>
      </c>
      <c r="B4" s="14" t="s">
        <v>4</v>
      </c>
    </row>
    <row r="5" spans="1:15">
      <c r="A5" s="13" t="s">
        <v>46</v>
      </c>
    </row>
    <row r="6" spans="1:15">
      <c r="A6" s="13" t="s">
        <v>47</v>
      </c>
      <c r="B6" s="14">
        <v>3</v>
      </c>
    </row>
    <row r="7" spans="1:15">
      <c r="A7" s="13" t="s">
        <v>48</v>
      </c>
      <c r="B7" s="14" t="s">
        <v>448</v>
      </c>
    </row>
    <row r="8" spans="1:15">
      <c r="A8" s="13" t="s">
        <v>347</v>
      </c>
      <c r="B8" s="14" t="s">
        <v>418</v>
      </c>
    </row>
    <row r="9" spans="1:15">
      <c r="A9" s="17"/>
    </row>
    <row r="10" spans="1:15">
      <c r="A10" s="17" t="s">
        <v>49</v>
      </c>
      <c r="B10" s="18">
        <v>44286</v>
      </c>
      <c r="C10" s="18">
        <v>44196</v>
      </c>
      <c r="D10" s="18">
        <v>44104</v>
      </c>
      <c r="E10" s="18">
        <v>44012</v>
      </c>
      <c r="F10" s="18">
        <v>43921</v>
      </c>
      <c r="G10" s="18">
        <v>43830</v>
      </c>
      <c r="H10" s="18">
        <v>43738</v>
      </c>
      <c r="I10" s="18">
        <v>43646</v>
      </c>
      <c r="J10" s="18">
        <v>43555</v>
      </c>
      <c r="K10" s="18">
        <v>43465</v>
      </c>
      <c r="L10" s="18">
        <f>EOMONTH(K10,-3)</f>
        <v>43373</v>
      </c>
      <c r="M10" s="18">
        <f t="shared" ref="M10:O10" si="0">EOMONTH(L10,-3)</f>
        <v>43281</v>
      </c>
      <c r="N10" s="18">
        <f t="shared" si="0"/>
        <v>43190</v>
      </c>
      <c r="O10" s="18">
        <f t="shared" si="0"/>
        <v>43100</v>
      </c>
    </row>
    <row r="11" spans="1:15">
      <c r="J11" s="33"/>
    </row>
    <row r="12" spans="1:15">
      <c r="A12" s="19" t="s">
        <v>50</v>
      </c>
      <c r="B12" s="20">
        <v>2189</v>
      </c>
      <c r="C12" s="20">
        <v>2310</v>
      </c>
      <c r="D12" s="20">
        <f>7602-E12-F12-G12</f>
        <v>2169</v>
      </c>
      <c r="E12" s="20">
        <v>1518</v>
      </c>
      <c r="F12" s="20">
        <v>1700</v>
      </c>
      <c r="G12" s="20">
        <v>2215</v>
      </c>
      <c r="H12" s="20">
        <f>3535+4993-I12-J12-K12</f>
        <v>2259</v>
      </c>
      <c r="I12" s="20">
        <f>1268+562</f>
        <v>1830</v>
      </c>
      <c r="J12" s="20">
        <v>2012</v>
      </c>
      <c r="K12" s="20">
        <v>2427</v>
      </c>
      <c r="L12" s="20">
        <f>8448-6261</f>
        <v>2187</v>
      </c>
      <c r="M12" s="20">
        <v>1838</v>
      </c>
      <c r="N12" s="20">
        <f>5813-M12-O12</f>
        <v>1845</v>
      </c>
      <c r="O12" s="20">
        <v>2130</v>
      </c>
    </row>
    <row r="13" spans="1:15" s="21" customFormat="1">
      <c r="A13" s="21" t="s">
        <v>51</v>
      </c>
      <c r="B13" s="21">
        <f t="shared" ref="B13:K13" si="1">+B12/F12-1</f>
        <v>0.28764705882352937</v>
      </c>
      <c r="C13" s="21">
        <f t="shared" si="1"/>
        <v>4.2889390519187387E-2</v>
      </c>
      <c r="D13" s="21">
        <f t="shared" si="1"/>
        <v>-3.9840637450199168E-2</v>
      </c>
      <c r="E13" s="21">
        <f t="shared" si="1"/>
        <v>-0.17049180327868851</v>
      </c>
      <c r="F13" s="21">
        <f t="shared" si="1"/>
        <v>-0.15506958250497016</v>
      </c>
      <c r="G13" s="21">
        <f t="shared" si="1"/>
        <v>-8.7350638648537315E-2</v>
      </c>
      <c r="H13" s="21">
        <f t="shared" si="1"/>
        <v>3.292181069958855E-2</v>
      </c>
      <c r="I13" s="21">
        <f t="shared" si="1"/>
        <v>-4.3525571273123065E-3</v>
      </c>
      <c r="J13" s="21">
        <f t="shared" si="1"/>
        <v>9.0514905149051472E-2</v>
      </c>
      <c r="K13" s="21">
        <f t="shared" si="1"/>
        <v>0.1394366197183099</v>
      </c>
    </row>
    <row r="14" spans="1:15" s="24" customFormat="1">
      <c r="A14" s="22" t="s">
        <v>52</v>
      </c>
      <c r="B14" s="23" t="s">
        <v>3</v>
      </c>
      <c r="C14" s="23" t="s">
        <v>3</v>
      </c>
      <c r="D14" s="23" t="s">
        <v>3</v>
      </c>
      <c r="E14" s="23" t="s">
        <v>3</v>
      </c>
      <c r="F14" s="23" t="s">
        <v>3</v>
      </c>
      <c r="G14" s="23" t="s">
        <v>3</v>
      </c>
      <c r="H14" s="23" t="s">
        <v>3</v>
      </c>
      <c r="I14" s="23" t="s">
        <v>3</v>
      </c>
      <c r="J14" s="23" t="s">
        <v>3</v>
      </c>
      <c r="K14" s="23" t="s">
        <v>3</v>
      </c>
      <c r="L14" s="23"/>
      <c r="M14" s="23"/>
      <c r="N14" s="23"/>
      <c r="O14" s="22"/>
    </row>
    <row r="16" spans="1:15" s="17" customFormat="1">
      <c r="A16" s="25" t="s">
        <v>53</v>
      </c>
      <c r="B16" s="26">
        <v>499</v>
      </c>
      <c r="C16" s="26">
        <v>525</v>
      </c>
      <c r="D16" s="26">
        <f>1522-E16-F16-G16</f>
        <v>443</v>
      </c>
      <c r="E16" s="26">
        <v>309</v>
      </c>
      <c r="F16" s="26">
        <v>332</v>
      </c>
      <c r="G16" s="26">
        <v>438</v>
      </c>
      <c r="H16" s="26">
        <v>403</v>
      </c>
      <c r="I16" s="26">
        <v>293</v>
      </c>
      <c r="J16" s="26">
        <v>390</v>
      </c>
      <c r="K16" s="26">
        <v>481</v>
      </c>
      <c r="L16" s="26">
        <v>436</v>
      </c>
      <c r="M16" s="26">
        <v>349</v>
      </c>
      <c r="N16" s="26"/>
      <c r="O16" s="26"/>
    </row>
    <row r="17" spans="1:15" s="21" customFormat="1">
      <c r="A17" s="21" t="s">
        <v>54</v>
      </c>
      <c r="B17" s="21">
        <f t="shared" ref="B17:C17" si="2">B16/B12</f>
        <v>0.22795797167656465</v>
      </c>
      <c r="C17" s="21">
        <f t="shared" si="2"/>
        <v>0.22727272727272727</v>
      </c>
      <c r="D17" s="21">
        <f t="shared" ref="D17:E17" si="3">D16/D12</f>
        <v>0.20424158598432457</v>
      </c>
      <c r="E17" s="21">
        <f t="shared" si="3"/>
        <v>0.20355731225296442</v>
      </c>
      <c r="F17" s="21">
        <f t="shared" ref="F17:M17" si="4">F16/F12</f>
        <v>0.19529411764705881</v>
      </c>
      <c r="G17" s="21">
        <f t="shared" si="4"/>
        <v>0.19774266365688487</v>
      </c>
      <c r="H17" s="21">
        <f t="shared" si="4"/>
        <v>0.1783975210270031</v>
      </c>
      <c r="I17" s="21">
        <f t="shared" si="4"/>
        <v>0.16010928961748633</v>
      </c>
      <c r="J17" s="21">
        <f t="shared" si="4"/>
        <v>0.19383697813121273</v>
      </c>
      <c r="K17" s="21">
        <f t="shared" si="4"/>
        <v>0.19818706221672847</v>
      </c>
      <c r="L17" s="21">
        <f t="shared" si="4"/>
        <v>0.19935985368084133</v>
      </c>
      <c r="M17" s="21">
        <f t="shared" si="4"/>
        <v>0.18988030467899891</v>
      </c>
    </row>
    <row r="18" spans="1:15" s="24" customFormat="1"/>
    <row r="19" spans="1:15" s="24" customFormat="1">
      <c r="A19" s="19" t="s">
        <v>55</v>
      </c>
      <c r="B19" s="20">
        <v>0</v>
      </c>
      <c r="C19" s="20">
        <v>0</v>
      </c>
      <c r="D19" s="20">
        <v>0</v>
      </c>
      <c r="E19" s="20">
        <v>0</v>
      </c>
      <c r="F19" s="20">
        <v>0</v>
      </c>
      <c r="G19" s="20">
        <v>0</v>
      </c>
      <c r="H19" s="20">
        <v>0</v>
      </c>
      <c r="I19" s="20">
        <v>0</v>
      </c>
      <c r="J19" s="20">
        <v>0</v>
      </c>
      <c r="K19" s="20">
        <v>0</v>
      </c>
      <c r="L19" s="20">
        <v>0</v>
      </c>
      <c r="M19" s="20">
        <v>0</v>
      </c>
      <c r="N19" s="20"/>
      <c r="O19" s="20"/>
    </row>
    <row r="20" spans="1:15" s="24" customFormat="1">
      <c r="A20" s="19" t="s">
        <v>56</v>
      </c>
      <c r="B20" s="20">
        <v>0</v>
      </c>
      <c r="C20" s="20">
        <v>0</v>
      </c>
      <c r="D20" s="20">
        <v>0</v>
      </c>
      <c r="E20" s="20">
        <v>0</v>
      </c>
      <c r="F20" s="20">
        <v>0</v>
      </c>
      <c r="G20" s="20">
        <v>0</v>
      </c>
      <c r="H20" s="20">
        <v>0</v>
      </c>
      <c r="I20" s="20">
        <v>0</v>
      </c>
      <c r="J20" s="20">
        <v>0</v>
      </c>
      <c r="K20" s="20">
        <v>0</v>
      </c>
      <c r="L20" s="20">
        <v>0</v>
      </c>
      <c r="M20" s="20">
        <v>0</v>
      </c>
      <c r="N20" s="20"/>
      <c r="O20" s="20"/>
    </row>
    <row r="21" spans="1:15" s="24" customFormat="1">
      <c r="A21" s="19" t="s">
        <v>57</v>
      </c>
      <c r="B21" s="20">
        <v>0</v>
      </c>
      <c r="C21" s="20">
        <v>0</v>
      </c>
      <c r="D21" s="20">
        <v>0</v>
      </c>
      <c r="E21" s="20">
        <v>0</v>
      </c>
      <c r="F21" s="20">
        <v>0</v>
      </c>
      <c r="G21" s="20">
        <v>0</v>
      </c>
      <c r="H21" s="20">
        <v>0</v>
      </c>
      <c r="I21" s="20">
        <v>0</v>
      </c>
      <c r="J21" s="20">
        <v>0</v>
      </c>
      <c r="K21" s="20">
        <v>0</v>
      </c>
      <c r="L21" s="20">
        <v>0</v>
      </c>
      <c r="M21" s="20">
        <v>0</v>
      </c>
      <c r="N21" s="20"/>
      <c r="O21" s="20"/>
    </row>
    <row r="22" spans="1:15" s="17" customFormat="1">
      <c r="A22" s="17" t="s">
        <v>58</v>
      </c>
      <c r="B22" s="27">
        <f t="shared" ref="B22:C22" si="5">B16+B19+B20+B21</f>
        <v>499</v>
      </c>
      <c r="C22" s="27">
        <f t="shared" si="5"/>
        <v>525</v>
      </c>
      <c r="D22" s="27">
        <f t="shared" ref="D22:E22" si="6">D16+D19+D20+D21</f>
        <v>443</v>
      </c>
      <c r="E22" s="27">
        <f t="shared" si="6"/>
        <v>309</v>
      </c>
      <c r="F22" s="27">
        <f t="shared" ref="F22:M22" si="7">F16+F19+F20+F21</f>
        <v>332</v>
      </c>
      <c r="G22" s="27">
        <f t="shared" si="7"/>
        <v>438</v>
      </c>
      <c r="H22" s="27">
        <f t="shared" si="7"/>
        <v>403</v>
      </c>
      <c r="I22" s="27">
        <f t="shared" si="7"/>
        <v>293</v>
      </c>
      <c r="J22" s="27">
        <f t="shared" si="7"/>
        <v>390</v>
      </c>
      <c r="K22" s="27">
        <f t="shared" si="7"/>
        <v>481</v>
      </c>
      <c r="L22" s="27">
        <f t="shared" si="7"/>
        <v>436</v>
      </c>
      <c r="M22" s="27">
        <f t="shared" si="7"/>
        <v>349</v>
      </c>
      <c r="N22" s="27"/>
      <c r="O22" s="27"/>
    </row>
    <row r="23" spans="1:15" s="17" customFormat="1">
      <c r="B23" s="27"/>
      <c r="C23" s="27"/>
      <c r="D23" s="27"/>
      <c r="E23" s="27"/>
      <c r="F23" s="27"/>
      <c r="G23" s="27"/>
      <c r="H23" s="27"/>
      <c r="I23" s="27"/>
      <c r="J23" s="27"/>
      <c r="K23" s="27"/>
      <c r="L23" s="27"/>
      <c r="M23" s="27"/>
      <c r="N23" s="27"/>
      <c r="O23" s="27"/>
    </row>
    <row r="24" spans="1:15" s="17" customFormat="1">
      <c r="A24" s="17" t="s">
        <v>59</v>
      </c>
      <c r="B24" s="65">
        <f t="shared" ref="B24:H24" si="8">C24+B22-F22</f>
        <v>1776</v>
      </c>
      <c r="C24" s="65">
        <f t="shared" si="8"/>
        <v>1609</v>
      </c>
      <c r="D24" s="65">
        <f t="shared" si="8"/>
        <v>1522</v>
      </c>
      <c r="E24" s="65">
        <f t="shared" si="8"/>
        <v>1482</v>
      </c>
      <c r="F24" s="65">
        <f t="shared" si="8"/>
        <v>1466</v>
      </c>
      <c r="G24" s="65">
        <f t="shared" si="8"/>
        <v>1524</v>
      </c>
      <c r="H24" s="65">
        <f t="shared" si="8"/>
        <v>1567</v>
      </c>
      <c r="I24" s="46">
        <v>1600</v>
      </c>
      <c r="J24" s="27"/>
      <c r="K24" s="27"/>
      <c r="L24" s="27"/>
      <c r="M24" s="27"/>
      <c r="N24" s="27"/>
      <c r="O24" s="27"/>
    </row>
    <row r="25" spans="1:15" s="24" customFormat="1">
      <c r="A25" s="19" t="s">
        <v>60</v>
      </c>
      <c r="B25" s="28">
        <f>1816-B24</f>
        <v>40</v>
      </c>
      <c r="C25" s="28">
        <f>1674-C24</f>
        <v>65</v>
      </c>
      <c r="D25" s="28">
        <f>1543-D24</f>
        <v>21</v>
      </c>
      <c r="E25" s="28">
        <f>1522-E24</f>
        <v>40</v>
      </c>
      <c r="F25" s="28">
        <f>1501-F24</f>
        <v>35</v>
      </c>
      <c r="G25" s="28">
        <f>1581-G24</f>
        <v>57</v>
      </c>
      <c r="H25" s="28">
        <v>0</v>
      </c>
      <c r="I25" s="28">
        <v>0</v>
      </c>
      <c r="J25" s="28"/>
      <c r="K25" s="28"/>
      <c r="L25" s="28"/>
      <c r="M25" s="28"/>
      <c r="N25" s="28"/>
      <c r="O25" s="28"/>
    </row>
    <row r="26" spans="1:15" s="24" customFormat="1">
      <c r="A26" s="19" t="s">
        <v>61</v>
      </c>
      <c r="B26" s="29">
        <v>0</v>
      </c>
      <c r="C26" s="29">
        <v>0</v>
      </c>
      <c r="D26" s="29">
        <v>0</v>
      </c>
      <c r="E26" s="29">
        <v>0</v>
      </c>
      <c r="F26" s="29">
        <v>0</v>
      </c>
      <c r="G26" s="29">
        <v>0</v>
      </c>
      <c r="H26" s="29">
        <v>0</v>
      </c>
      <c r="I26" s="29">
        <v>0</v>
      </c>
      <c r="J26" s="29"/>
      <c r="K26" s="29"/>
      <c r="L26" s="29"/>
      <c r="M26" s="29"/>
      <c r="N26" s="29"/>
      <c r="O26" s="29"/>
    </row>
    <row r="27" spans="1:15" s="32" customFormat="1">
      <c r="A27" s="17" t="s">
        <v>62</v>
      </c>
      <c r="B27" s="27">
        <f t="shared" ref="B27:C27" si="9">B24+B25+B26</f>
        <v>1816</v>
      </c>
      <c r="C27" s="27">
        <f t="shared" si="9"/>
        <v>1674</v>
      </c>
      <c r="D27" s="27">
        <f t="shared" ref="D27:I27" si="10">D24+D25+D26</f>
        <v>1543</v>
      </c>
      <c r="E27" s="27">
        <f t="shared" si="10"/>
        <v>1522</v>
      </c>
      <c r="F27" s="27">
        <f t="shared" si="10"/>
        <v>1501</v>
      </c>
      <c r="G27" s="27">
        <f t="shared" si="10"/>
        <v>1581</v>
      </c>
      <c r="H27" s="27">
        <f t="shared" si="10"/>
        <v>1567</v>
      </c>
      <c r="I27" s="27">
        <f t="shared" si="10"/>
        <v>1600</v>
      </c>
      <c r="J27" s="27"/>
      <c r="K27" s="27"/>
      <c r="L27" s="27"/>
      <c r="M27" s="27"/>
      <c r="N27" s="27"/>
      <c r="O27" s="27"/>
    </row>
    <row r="28" spans="1:15" s="24" customFormat="1">
      <c r="J28" s="27"/>
    </row>
    <row r="29" spans="1:15" s="17" customFormat="1">
      <c r="A29" s="17" t="s">
        <v>58</v>
      </c>
      <c r="B29" s="27">
        <f t="shared" ref="B29" si="11">B22</f>
        <v>499</v>
      </c>
      <c r="C29" s="27">
        <f t="shared" ref="C29:D29" si="12">C22</f>
        <v>525</v>
      </c>
      <c r="D29" s="27">
        <f t="shared" si="12"/>
        <v>443</v>
      </c>
      <c r="E29" s="27">
        <f>E22</f>
        <v>309</v>
      </c>
      <c r="F29" s="27">
        <f>F22</f>
        <v>332</v>
      </c>
      <c r="G29" s="27">
        <f>G22</f>
        <v>438</v>
      </c>
      <c r="H29" s="27">
        <f t="shared" ref="H29:J29" si="13">H22</f>
        <v>403</v>
      </c>
      <c r="I29" s="27">
        <f t="shared" si="13"/>
        <v>293</v>
      </c>
      <c r="J29" s="27">
        <f t="shared" si="13"/>
        <v>390</v>
      </c>
      <c r="K29" s="27">
        <f>K22</f>
        <v>481</v>
      </c>
      <c r="L29" s="27"/>
      <c r="M29" s="27"/>
      <c r="N29" s="27"/>
      <c r="O29" s="27"/>
    </row>
    <row r="30" spans="1:15" s="33" customFormat="1">
      <c r="A30" s="20" t="s">
        <v>63</v>
      </c>
      <c r="B30" s="20">
        <f>-366-C30</f>
        <v>-148</v>
      </c>
      <c r="C30" s="20">
        <v>-218</v>
      </c>
      <c r="D30" s="20">
        <f>-596-E30-F30-G30</f>
        <v>-70</v>
      </c>
      <c r="E30" s="20">
        <f>-526-F30-G30</f>
        <v>-187</v>
      </c>
      <c r="F30" s="20">
        <f>-339-G30</f>
        <v>-98</v>
      </c>
      <c r="G30" s="20">
        <v>-241</v>
      </c>
      <c r="H30" s="20">
        <f>-144-5-I30-J30-K30</f>
        <v>-144</v>
      </c>
      <c r="I30" s="20">
        <f>-5-J30-K30</f>
        <v>-1</v>
      </c>
      <c r="J30" s="20">
        <v>-2</v>
      </c>
      <c r="K30" s="20">
        <v>-2</v>
      </c>
      <c r="L30" s="20"/>
      <c r="M30" s="20"/>
      <c r="N30" s="20"/>
      <c r="O30" s="20"/>
    </row>
    <row r="31" spans="1:15" s="33" customFormat="1">
      <c r="A31" s="20" t="s">
        <v>64</v>
      </c>
      <c r="B31" s="20">
        <f>-137+42-C31</f>
        <v>-57</v>
      </c>
      <c r="C31" s="20">
        <f>-100+62</f>
        <v>-38</v>
      </c>
      <c r="D31" s="20">
        <f>17-159-E31-F31-G31</f>
        <v>-42</v>
      </c>
      <c r="E31" s="20">
        <f>43-143-F31-G31</f>
        <v>-18</v>
      </c>
      <c r="F31" s="20">
        <f>19-101-G31</f>
        <v>-39</v>
      </c>
      <c r="G31" s="20">
        <f>-13-30</f>
        <v>-43</v>
      </c>
      <c r="H31" s="20">
        <f>31-178-94+46-I31-J31-K31</f>
        <v>-40</v>
      </c>
      <c r="I31" s="20">
        <f>27-178-50+46-J31-K31</f>
        <v>-75</v>
      </c>
      <c r="J31" s="20">
        <f>-141+61-K31</f>
        <v>-35</v>
      </c>
      <c r="K31" s="20">
        <f>-112+67</f>
        <v>-45</v>
      </c>
      <c r="L31" s="20"/>
      <c r="M31" s="20"/>
      <c r="N31" s="20"/>
      <c r="O31" s="20"/>
    </row>
    <row r="32" spans="1:15" s="33" customFormat="1">
      <c r="A32" s="20" t="s">
        <v>65</v>
      </c>
      <c r="B32" s="20">
        <f>-139+14+59-44-C32</f>
        <v>49</v>
      </c>
      <c r="C32" s="20">
        <f>-26+26-98-61</f>
        <v>-159</v>
      </c>
      <c r="D32" s="20">
        <f>180+102+14-60+53-E32-F32-G32</f>
        <v>305</v>
      </c>
      <c r="E32" s="20">
        <f>363+27+28-464+30-F32-G32</f>
        <v>127</v>
      </c>
      <c r="F32" s="20">
        <f>303-122-17-327+20-G32</f>
        <v>63</v>
      </c>
      <c r="G32" s="20">
        <f>13-16+5-219+11</f>
        <v>-206</v>
      </c>
      <c r="H32" s="20">
        <f>-167+427-27+388+30+273-190-15-410+14-I32-J32-K32</f>
        <v>346</v>
      </c>
      <c r="I32" s="20">
        <f>97+183-47+67+5+273-190-15-410+14-J32-K32</f>
        <v>227</v>
      </c>
      <c r="J32" s="20">
        <f>202-113-85-259+5-K32</f>
        <v>-55</v>
      </c>
      <c r="K32" s="20">
        <f>-33+46-62-151+5</f>
        <v>-195</v>
      </c>
      <c r="L32" s="20"/>
      <c r="M32" s="20"/>
      <c r="N32" s="20"/>
      <c r="O32" s="20"/>
    </row>
    <row r="33" spans="1:15" s="33" customFormat="1">
      <c r="A33" s="20" t="s">
        <v>66</v>
      </c>
      <c r="B33" s="20">
        <v>0</v>
      </c>
      <c r="C33" s="20">
        <v>0</v>
      </c>
      <c r="D33" s="20">
        <v>0</v>
      </c>
      <c r="E33" s="20">
        <v>0</v>
      </c>
      <c r="F33" s="20">
        <v>0</v>
      </c>
      <c r="G33" s="20">
        <v>0</v>
      </c>
      <c r="H33" s="20">
        <v>0</v>
      </c>
      <c r="I33" s="20">
        <v>0</v>
      </c>
      <c r="J33" s="20">
        <v>0</v>
      </c>
      <c r="K33" s="20">
        <v>0</v>
      </c>
      <c r="L33" s="20"/>
      <c r="M33" s="20"/>
      <c r="N33" s="20"/>
      <c r="O33" s="20"/>
    </row>
    <row r="34" spans="1:15" s="33" customFormat="1">
      <c r="A34" s="20" t="s">
        <v>57</v>
      </c>
      <c r="B34" s="29">
        <v>0</v>
      </c>
      <c r="C34" s="29">
        <v>0</v>
      </c>
      <c r="D34" s="29">
        <v>0</v>
      </c>
      <c r="E34" s="29">
        <v>0</v>
      </c>
      <c r="F34" s="29">
        <v>0</v>
      </c>
      <c r="G34" s="29">
        <v>0</v>
      </c>
      <c r="H34" s="29">
        <v>0</v>
      </c>
      <c r="I34" s="29">
        <v>0</v>
      </c>
      <c r="J34" s="29">
        <v>0</v>
      </c>
      <c r="K34" s="29">
        <v>0</v>
      </c>
      <c r="L34" s="29"/>
      <c r="M34" s="29"/>
      <c r="N34" s="29"/>
      <c r="O34" s="29"/>
    </row>
    <row r="35" spans="1:15" s="27" customFormat="1">
      <c r="A35" s="27" t="s">
        <v>67</v>
      </c>
      <c r="B35" s="27">
        <f>321-C35</f>
        <v>255</v>
      </c>
      <c r="C35" s="27">
        <v>66</v>
      </c>
      <c r="D35" s="27">
        <f>617-E35-F35-G35</f>
        <v>476</v>
      </c>
      <c r="E35" s="27">
        <f>141-F35-G35</f>
        <v>91</v>
      </c>
      <c r="F35" s="27">
        <f>50-G35</f>
        <v>92</v>
      </c>
      <c r="G35" s="27">
        <v>-42</v>
      </c>
      <c r="H35" s="27">
        <f>510+217-I35-J35-K35</f>
        <v>408</v>
      </c>
      <c r="I35" s="27">
        <f>102+217-J35-K35</f>
        <v>-21</v>
      </c>
      <c r="J35" s="27">
        <f>340-K35</f>
        <v>206</v>
      </c>
      <c r="K35" s="27">
        <v>134</v>
      </c>
    </row>
    <row r="36" spans="1:15" s="33" customFormat="1">
      <c r="A36" s="20" t="s">
        <v>68</v>
      </c>
      <c r="B36" s="29">
        <f>-113-C36</f>
        <v>-53</v>
      </c>
      <c r="C36" s="29">
        <v>-60</v>
      </c>
      <c r="D36" s="29">
        <f>-314-E36-F36-G36</f>
        <v>-74</v>
      </c>
      <c r="E36" s="29">
        <f>-240-F36-G36</f>
        <v>-75</v>
      </c>
      <c r="F36" s="29">
        <f>-165-G36</f>
        <v>-72</v>
      </c>
      <c r="G36" s="29">
        <v>-93</v>
      </c>
      <c r="H36" s="29">
        <f>-181-192-I36-J36-K36</f>
        <v>-134</v>
      </c>
      <c r="I36" s="29">
        <f>-47-192-J36-K36</f>
        <v>-67</v>
      </c>
      <c r="J36" s="29">
        <f>-172-K36</f>
        <v>-85</v>
      </c>
      <c r="K36" s="29">
        <v>-87</v>
      </c>
      <c r="L36" s="29"/>
      <c r="M36" s="29"/>
      <c r="N36" s="29"/>
      <c r="O36" s="29"/>
    </row>
    <row r="37" spans="1:15" s="27" customFormat="1">
      <c r="A37" s="27" t="s">
        <v>69</v>
      </c>
      <c r="B37" s="27">
        <f t="shared" ref="B37:K37" si="14">B35+B36</f>
        <v>202</v>
      </c>
      <c r="C37" s="27">
        <f t="shared" si="14"/>
        <v>6</v>
      </c>
      <c r="D37" s="27">
        <f t="shared" si="14"/>
        <v>402</v>
      </c>
      <c r="E37" s="27">
        <f t="shared" si="14"/>
        <v>16</v>
      </c>
      <c r="F37" s="27">
        <f t="shared" si="14"/>
        <v>20</v>
      </c>
      <c r="G37" s="27">
        <f t="shared" si="14"/>
        <v>-135</v>
      </c>
      <c r="H37" s="27">
        <f t="shared" si="14"/>
        <v>274</v>
      </c>
      <c r="I37" s="27">
        <f t="shared" si="14"/>
        <v>-88</v>
      </c>
      <c r="J37" s="27">
        <f t="shared" si="14"/>
        <v>121</v>
      </c>
      <c r="K37" s="27">
        <f t="shared" si="14"/>
        <v>47</v>
      </c>
    </row>
    <row r="39" spans="1:15" s="35" customFormat="1">
      <c r="A39" s="34" t="s">
        <v>70</v>
      </c>
      <c r="B39" s="20">
        <v>0</v>
      </c>
      <c r="C39" s="20">
        <v>0</v>
      </c>
      <c r="D39" s="20">
        <v>0</v>
      </c>
      <c r="E39" s="20">
        <v>0</v>
      </c>
      <c r="F39" s="20">
        <f>414+224</f>
        <v>638</v>
      </c>
      <c r="G39" s="20">
        <f>382+228</f>
        <v>610</v>
      </c>
      <c r="H39" s="20">
        <v>75</v>
      </c>
      <c r="I39" s="20">
        <v>344</v>
      </c>
      <c r="J39" s="20"/>
      <c r="K39" s="20">
        <v>0</v>
      </c>
      <c r="L39" s="20"/>
      <c r="M39" s="20"/>
      <c r="N39" s="20"/>
      <c r="O39" s="20"/>
    </row>
    <row r="40" spans="1:15" s="35" customFormat="1">
      <c r="A40" s="34" t="s">
        <v>71</v>
      </c>
      <c r="B40" s="20">
        <f>6180+2321+50</f>
        <v>8551</v>
      </c>
      <c r="C40" s="20">
        <f>6397+2361+58</f>
        <v>8816</v>
      </c>
      <c r="D40" s="20">
        <f>6452+2321+52</f>
        <v>8825</v>
      </c>
      <c r="E40" s="20">
        <f>6362+2286+50</f>
        <v>8698</v>
      </c>
      <c r="F40" s="20">
        <f>6329+1770+48</f>
        <v>8147</v>
      </c>
      <c r="G40" s="20">
        <f>6382+1785+47</f>
        <v>8214</v>
      </c>
      <c r="H40" s="20">
        <f>6338+1765+46</f>
        <v>8149</v>
      </c>
      <c r="I40" s="20">
        <f>6426+1797+38</f>
        <v>8261</v>
      </c>
      <c r="J40" s="20"/>
      <c r="K40" s="20">
        <f>3200+2250+2000+750</f>
        <v>8200</v>
      </c>
      <c r="L40" s="20"/>
      <c r="M40" s="20"/>
      <c r="N40" s="20"/>
      <c r="O40" s="20"/>
    </row>
    <row r="41" spans="1:15" s="35" customFormat="1">
      <c r="A41" s="34" t="s">
        <v>72</v>
      </c>
      <c r="B41" s="20">
        <f>+B39+B40+1950+12</f>
        <v>10513</v>
      </c>
      <c r="C41" s="20">
        <f>+C39+C40+1950+14</f>
        <v>10780</v>
      </c>
      <c r="D41" s="20">
        <f t="shared" ref="D41:I41" si="15">D39+D40+1950</f>
        <v>10775</v>
      </c>
      <c r="E41" s="20">
        <f t="shared" si="15"/>
        <v>10648</v>
      </c>
      <c r="F41" s="20">
        <f t="shared" si="15"/>
        <v>10735</v>
      </c>
      <c r="G41" s="20">
        <f t="shared" si="15"/>
        <v>10774</v>
      </c>
      <c r="H41" s="20">
        <f t="shared" si="15"/>
        <v>10174</v>
      </c>
      <c r="I41" s="20">
        <f t="shared" si="15"/>
        <v>10555</v>
      </c>
      <c r="J41" s="20"/>
      <c r="K41" s="20">
        <f>K39+K40+1950</f>
        <v>10150</v>
      </c>
      <c r="L41" s="20"/>
      <c r="M41" s="20"/>
      <c r="N41" s="20"/>
      <c r="O41" s="20"/>
    </row>
    <row r="42" spans="1:15" s="35" customFormat="1">
      <c r="A42" s="34" t="s">
        <v>73</v>
      </c>
      <c r="B42" s="36">
        <v>2950</v>
      </c>
      <c r="C42" s="36">
        <v>2950</v>
      </c>
      <c r="D42" s="36">
        <v>2950</v>
      </c>
      <c r="E42" s="36">
        <v>2950</v>
      </c>
      <c r="F42" s="36">
        <v>2950</v>
      </c>
      <c r="G42" s="36">
        <v>2950</v>
      </c>
      <c r="H42" s="36">
        <v>2950</v>
      </c>
      <c r="I42" s="36">
        <v>2950</v>
      </c>
      <c r="J42" s="36"/>
      <c r="K42" s="36">
        <v>2950</v>
      </c>
      <c r="L42" s="36"/>
      <c r="M42" s="36"/>
      <c r="N42" s="36"/>
      <c r="O42" s="36"/>
    </row>
    <row r="43" spans="1:15">
      <c r="B43" s="35"/>
      <c r="C43" s="35"/>
      <c r="D43" s="35"/>
      <c r="E43" s="35"/>
      <c r="F43" s="35"/>
      <c r="G43" s="35"/>
      <c r="H43" s="35"/>
      <c r="I43" s="35"/>
      <c r="J43" s="35"/>
      <c r="K43" s="35"/>
      <c r="L43" s="35"/>
      <c r="M43" s="35"/>
    </row>
    <row r="44" spans="1:15">
      <c r="A44" s="19" t="s">
        <v>74</v>
      </c>
      <c r="B44" s="28">
        <v>550</v>
      </c>
      <c r="C44" s="28">
        <v>478</v>
      </c>
      <c r="D44" s="28">
        <v>682</v>
      </c>
      <c r="E44" s="28">
        <v>311</v>
      </c>
      <c r="F44" s="28">
        <v>459</v>
      </c>
      <c r="G44" s="28">
        <v>326</v>
      </c>
      <c r="H44" s="28">
        <v>388</v>
      </c>
      <c r="I44" s="28">
        <v>360</v>
      </c>
      <c r="J44" s="28"/>
      <c r="K44" s="28">
        <v>0</v>
      </c>
      <c r="L44" s="28"/>
      <c r="M44" s="28"/>
      <c r="N44" s="28"/>
      <c r="O44" s="28"/>
    </row>
    <row r="46" spans="1:15">
      <c r="A46" s="14" t="s">
        <v>75</v>
      </c>
      <c r="B46" s="58">
        <f t="shared" ref="B46:J46" si="16">SUM(B12:E12)</f>
        <v>8186</v>
      </c>
      <c r="C46" s="58">
        <f t="shared" si="16"/>
        <v>7697</v>
      </c>
      <c r="D46" s="58">
        <f t="shared" si="16"/>
        <v>7602</v>
      </c>
      <c r="E46" s="58">
        <f t="shared" si="16"/>
        <v>7692</v>
      </c>
      <c r="F46" s="58">
        <f t="shared" si="16"/>
        <v>8004</v>
      </c>
      <c r="G46" s="58">
        <f t="shared" si="16"/>
        <v>8316</v>
      </c>
      <c r="H46" s="58">
        <f t="shared" si="16"/>
        <v>8528</v>
      </c>
      <c r="I46" s="58">
        <f t="shared" si="16"/>
        <v>8456</v>
      </c>
      <c r="J46" s="58">
        <f t="shared" si="16"/>
        <v>8464</v>
      </c>
      <c r="K46" s="51">
        <v>8297</v>
      </c>
      <c r="L46" s="33"/>
      <c r="M46" s="33"/>
      <c r="N46" s="33"/>
      <c r="O46" s="33"/>
    </row>
    <row r="47" spans="1:15">
      <c r="A47" s="14" t="s">
        <v>76</v>
      </c>
      <c r="B47" s="58">
        <f t="shared" ref="B47:C47" si="17">B27</f>
        <v>1816</v>
      </c>
      <c r="C47" s="58">
        <f t="shared" si="17"/>
        <v>1674</v>
      </c>
      <c r="D47" s="58">
        <f t="shared" ref="D47:I47" si="18">D27</f>
        <v>1543</v>
      </c>
      <c r="E47" s="58">
        <f t="shared" si="18"/>
        <v>1522</v>
      </c>
      <c r="F47" s="58">
        <f t="shared" si="18"/>
        <v>1501</v>
      </c>
      <c r="G47" s="58">
        <f t="shared" si="18"/>
        <v>1581</v>
      </c>
      <c r="H47" s="58">
        <f t="shared" si="18"/>
        <v>1567</v>
      </c>
      <c r="I47" s="58">
        <f t="shared" si="18"/>
        <v>1600</v>
      </c>
      <c r="J47" s="51"/>
      <c r="K47" s="51">
        <v>1660</v>
      </c>
      <c r="L47" s="33"/>
      <c r="M47" s="33"/>
      <c r="N47" s="33"/>
      <c r="O47" s="33"/>
    </row>
    <row r="48" spans="1:15">
      <c r="A48" s="14" t="s">
        <v>77</v>
      </c>
      <c r="B48" s="58">
        <f t="shared" ref="B48:G48" si="19">C48+B37-F37</f>
        <v>626</v>
      </c>
      <c r="C48" s="58">
        <f t="shared" si="19"/>
        <v>444</v>
      </c>
      <c r="D48" s="58">
        <f t="shared" si="19"/>
        <v>303</v>
      </c>
      <c r="E48" s="58">
        <f t="shared" si="19"/>
        <v>175</v>
      </c>
      <c r="F48" s="58">
        <f t="shared" si="19"/>
        <v>71</v>
      </c>
      <c r="G48" s="58">
        <f t="shared" si="19"/>
        <v>172</v>
      </c>
      <c r="H48" s="51">
        <f>510+217-181-192</f>
        <v>354</v>
      </c>
      <c r="I48" s="51"/>
      <c r="J48" s="51"/>
      <c r="K48" s="51">
        <v>434.29999999999995</v>
      </c>
      <c r="L48" s="33"/>
      <c r="M48" s="33"/>
      <c r="N48" s="33"/>
      <c r="O48" s="33"/>
    </row>
    <row r="50" spans="1:15" s="37" customFormat="1">
      <c r="A50" s="37" t="s">
        <v>78</v>
      </c>
      <c r="B50" s="37">
        <f t="shared" ref="B50:C50" si="20">+SUM(B39:B40)/B47</f>
        <v>4.7087004405286343</v>
      </c>
      <c r="C50" s="37">
        <f t="shared" si="20"/>
        <v>5.2664277180406209</v>
      </c>
      <c r="D50" s="37">
        <f t="shared" ref="D50:I50" si="21">+SUM(D39:D40)/D47</f>
        <v>5.7193778353856128</v>
      </c>
      <c r="E50" s="37">
        <f t="shared" si="21"/>
        <v>5.7148488830486199</v>
      </c>
      <c r="F50" s="37">
        <f t="shared" si="21"/>
        <v>5.8527648234510323</v>
      </c>
      <c r="G50" s="37">
        <f t="shared" si="21"/>
        <v>5.5812776723592661</v>
      </c>
      <c r="H50" s="37">
        <f t="shared" si="21"/>
        <v>5.2482450542437782</v>
      </c>
      <c r="I50" s="37">
        <f t="shared" si="21"/>
        <v>5.3781249999999998</v>
      </c>
      <c r="K50" s="37">
        <f>+SUM(K39:K40)/K47</f>
        <v>4.9397590361445785</v>
      </c>
    </row>
    <row r="51" spans="1:15" s="37" customFormat="1">
      <c r="A51" s="37" t="s">
        <v>79</v>
      </c>
      <c r="B51" s="37">
        <f t="shared" ref="B51:C51" si="22">+B41/B47</f>
        <v>5.7890969162995596</v>
      </c>
      <c r="C51" s="37">
        <f t="shared" si="22"/>
        <v>6.4396654719235364</v>
      </c>
      <c r="D51" s="37">
        <f t="shared" ref="D51:I51" si="23">+D41/D47</f>
        <v>6.9831497083603367</v>
      </c>
      <c r="E51" s="37">
        <f t="shared" si="23"/>
        <v>6.9960578186596587</v>
      </c>
      <c r="F51" s="37">
        <f t="shared" si="23"/>
        <v>7.1518987341772151</v>
      </c>
      <c r="G51" s="37">
        <f t="shared" si="23"/>
        <v>6.8146742567994938</v>
      </c>
      <c r="H51" s="37">
        <f t="shared" si="23"/>
        <v>6.4926611359285262</v>
      </c>
      <c r="I51" s="37">
        <f t="shared" si="23"/>
        <v>6.5968749999999998</v>
      </c>
      <c r="K51" s="37">
        <f>+K41/K47</f>
        <v>6.1144578313253009</v>
      </c>
    </row>
    <row r="52" spans="1:15" s="37" customFormat="1">
      <c r="A52" s="37" t="s">
        <v>80</v>
      </c>
      <c r="B52" s="37">
        <f t="shared" ref="B52:C52" si="24">+(B41-B44)/B47</f>
        <v>5.4862334801762112</v>
      </c>
      <c r="C52" s="37">
        <f t="shared" si="24"/>
        <v>6.1541218637992827</v>
      </c>
      <c r="D52" s="37">
        <f t="shared" ref="D52:I52" si="25">+(D41-D44)/D47</f>
        <v>6.5411535968891767</v>
      </c>
      <c r="E52" s="37">
        <f t="shared" si="25"/>
        <v>6.7917214191852828</v>
      </c>
      <c r="F52" s="37">
        <f t="shared" si="25"/>
        <v>6.8461025982678212</v>
      </c>
      <c r="G52" s="37">
        <f t="shared" si="25"/>
        <v>6.6084756483238456</v>
      </c>
      <c r="H52" s="37">
        <f t="shared" si="25"/>
        <v>6.2450542437779193</v>
      </c>
      <c r="I52" s="37">
        <f t="shared" si="25"/>
        <v>6.3718750000000002</v>
      </c>
      <c r="K52" s="37">
        <f>+(K41-K44)/K47</f>
        <v>6.1144578313253009</v>
      </c>
    </row>
    <row r="53" spans="1:15" s="38" customFormat="1">
      <c r="A53" s="38" t="s">
        <v>81</v>
      </c>
      <c r="B53" s="38">
        <f t="shared" ref="B53" si="26">+B48/B41</f>
        <v>5.9545324835917436E-2</v>
      </c>
      <c r="C53" s="38">
        <f t="shared" ref="C53:H53" si="27">+C48/C41</f>
        <v>4.1187384044526903E-2</v>
      </c>
      <c r="D53" s="38">
        <f t="shared" si="27"/>
        <v>2.8120649651972158E-2</v>
      </c>
      <c r="E53" s="38">
        <f t="shared" si="27"/>
        <v>1.6435011269722015E-2</v>
      </c>
      <c r="F53" s="38">
        <f t="shared" si="27"/>
        <v>6.6138798323241736E-3</v>
      </c>
      <c r="G53" s="38">
        <f t="shared" si="27"/>
        <v>1.5964358641173196E-2</v>
      </c>
      <c r="H53" s="38">
        <f t="shared" si="27"/>
        <v>3.4794574405346966E-2</v>
      </c>
      <c r="K53" s="38">
        <f>+K48/K41</f>
        <v>4.2788177339901472E-2</v>
      </c>
    </row>
    <row r="54" spans="1:15" s="38" customFormat="1">
      <c r="A54" s="39" t="s">
        <v>82</v>
      </c>
      <c r="B54" s="40"/>
      <c r="C54" s="40"/>
      <c r="D54" s="40"/>
      <c r="E54" s="40"/>
      <c r="F54" s="40"/>
      <c r="G54" s="40"/>
      <c r="H54" s="40"/>
      <c r="I54" s="40"/>
      <c r="J54" s="40"/>
      <c r="K54" s="40"/>
      <c r="L54" s="40"/>
      <c r="M54" s="40"/>
      <c r="N54" s="40"/>
      <c r="O54" s="40"/>
    </row>
    <row r="55" spans="1:15" s="38" customFormat="1">
      <c r="A55" s="38" t="s">
        <v>83</v>
      </c>
      <c r="B55" s="41">
        <f t="shared" ref="B55:C55" si="28">IF(B42=0,IF(B54="","","*"&amp;TEXT(B54,"0.0x")),(B41+B42-B44)/B47)</f>
        <v>7.1106828193832596</v>
      </c>
      <c r="C55" s="41">
        <f t="shared" si="28"/>
        <v>7.9163679808841101</v>
      </c>
      <c r="D55" s="41">
        <f t="shared" ref="D55:I55" si="29">IF(D42=0,IF(D54="","","*"&amp;TEXT(D54,"0.0x")),(D41+D42-D44)/D47)</f>
        <v>8.4530136098509399</v>
      </c>
      <c r="E55" s="41">
        <f t="shared" si="29"/>
        <v>8.7299605781865974</v>
      </c>
      <c r="F55" s="41">
        <f t="shared" si="29"/>
        <v>8.8114590273151236</v>
      </c>
      <c r="G55" s="41">
        <f t="shared" si="29"/>
        <v>8.4743833017077801</v>
      </c>
      <c r="H55" s="41">
        <f t="shared" si="29"/>
        <v>8.1276324186343327</v>
      </c>
      <c r="I55" s="41">
        <f t="shared" si="29"/>
        <v>8.2156249999999993</v>
      </c>
      <c r="J55" s="41"/>
      <c r="K55" s="41">
        <f>IF(K42=0,IF(K54="","","*"&amp;TEXT(K54,"0.0x")),(K41+K42-K44)/K47)</f>
        <v>7.8915662650602414</v>
      </c>
      <c r="L55" s="41"/>
      <c r="M55" s="41"/>
      <c r="N55" s="41"/>
      <c r="O55" s="41"/>
    </row>
    <row r="56" spans="1:15">
      <c r="O56" s="42"/>
    </row>
    <row r="57" spans="1:15" ht="80.25" customHeight="1">
      <c r="A57" s="43" t="s">
        <v>84</v>
      </c>
      <c r="B57" s="44" t="s">
        <v>491</v>
      </c>
      <c r="C57" s="44" t="s">
        <v>491</v>
      </c>
      <c r="D57" s="44" t="s">
        <v>491</v>
      </c>
      <c r="E57" s="44" t="s">
        <v>491</v>
      </c>
      <c r="F57" s="44" t="s">
        <v>491</v>
      </c>
      <c r="G57" s="44" t="s">
        <v>491</v>
      </c>
      <c r="H57" s="44" t="s">
        <v>491</v>
      </c>
      <c r="I57" s="44" t="s">
        <v>491</v>
      </c>
      <c r="J57" s="44" t="s">
        <v>490</v>
      </c>
      <c r="K57" s="44" t="s">
        <v>90</v>
      </c>
      <c r="L57" s="44"/>
      <c r="M57" s="44"/>
      <c r="N57" s="44"/>
      <c r="O57" s="44"/>
    </row>
    <row r="58" spans="1:15">
      <c r="A58" s="45"/>
      <c r="B58" s="42"/>
      <c r="C58" s="42"/>
      <c r="D58" s="42"/>
      <c r="E58" s="42"/>
      <c r="F58" s="42"/>
      <c r="G58" s="42"/>
      <c r="H58" s="42"/>
      <c r="I58" s="42"/>
      <c r="J58" s="42"/>
      <c r="K58" s="42"/>
    </row>
    <row r="59" spans="1:15">
      <c r="A59" s="45"/>
    </row>
  </sheetData>
  <pageMargins left="0.7" right="0.7" top="0.75" bottom="0.75" header="0.3" footer="0.3"/>
  <pageSetup orientation="portrait" r:id="rId1"/>
  <legacyDrawing r:id="rId2"/>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2:N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4" width="10.6640625" style="14" customWidth="1"/>
    <col min="15" max="16384" width="9.109375" style="14"/>
  </cols>
  <sheetData>
    <row r="2" spans="1:14">
      <c r="A2" s="13" t="s">
        <v>44</v>
      </c>
      <c r="B2" s="14" t="s">
        <v>428</v>
      </c>
    </row>
    <row r="3" spans="1:14" s="16" customFormat="1">
      <c r="A3" s="15" t="s">
        <v>45</v>
      </c>
      <c r="B3" s="16" t="s">
        <v>426</v>
      </c>
    </row>
    <row r="4" spans="1:14">
      <c r="A4" s="13" t="s">
        <v>2</v>
      </c>
      <c r="B4" s="14" t="s">
        <v>4</v>
      </c>
    </row>
    <row r="5" spans="1:14">
      <c r="A5" s="13" t="s">
        <v>46</v>
      </c>
    </row>
    <row r="6" spans="1:14">
      <c r="A6" s="13" t="s">
        <v>47</v>
      </c>
      <c r="B6" s="14">
        <v>3</v>
      </c>
    </row>
    <row r="7" spans="1:14">
      <c r="A7" s="13" t="s">
        <v>48</v>
      </c>
      <c r="B7" s="14" t="s">
        <v>240</v>
      </c>
    </row>
    <row r="8" spans="1:14">
      <c r="A8" s="13" t="s">
        <v>347</v>
      </c>
      <c r="B8" s="14" t="s">
        <v>425</v>
      </c>
    </row>
    <row r="9" spans="1:14">
      <c r="A9" s="17"/>
    </row>
    <row r="10" spans="1:14">
      <c r="A10" s="17" t="s">
        <v>49</v>
      </c>
      <c r="B10" s="18">
        <v>44286</v>
      </c>
      <c r="C10" s="18">
        <v>44196</v>
      </c>
      <c r="D10" s="18">
        <v>44104</v>
      </c>
      <c r="E10" s="18">
        <v>44012</v>
      </c>
      <c r="F10" s="18">
        <v>43921</v>
      </c>
      <c r="G10" s="18">
        <v>43830</v>
      </c>
      <c r="H10" s="18">
        <v>43738</v>
      </c>
      <c r="I10" s="18">
        <v>43646</v>
      </c>
      <c r="J10" s="18">
        <v>43555</v>
      </c>
      <c r="K10" s="18">
        <v>43465</v>
      </c>
      <c r="L10" s="18">
        <f>EOMONTH(K10,-3)</f>
        <v>43373</v>
      </c>
      <c r="M10" s="18">
        <f t="shared" ref="M10:N10" si="0">EOMONTH(L10,-3)</f>
        <v>43281</v>
      </c>
      <c r="N10" s="18">
        <f t="shared" si="0"/>
        <v>43190</v>
      </c>
    </row>
    <row r="11" spans="1:14">
      <c r="H11" s="48"/>
    </row>
    <row r="12" spans="1:14">
      <c r="A12" s="19" t="s">
        <v>50</v>
      </c>
      <c r="B12" s="20">
        <v>78.900000000000006</v>
      </c>
      <c r="C12" s="20">
        <v>98</v>
      </c>
      <c r="D12" s="20">
        <v>72.834000000000003</v>
      </c>
      <c r="E12" s="20">
        <v>69.7</v>
      </c>
      <c r="F12" s="20">
        <v>73.2</v>
      </c>
      <c r="G12" s="20">
        <v>91.4</v>
      </c>
      <c r="H12" s="20">
        <v>76.2</v>
      </c>
      <c r="I12" s="20">
        <v>79.7</v>
      </c>
      <c r="J12" s="20">
        <v>67</v>
      </c>
      <c r="K12" s="20"/>
      <c r="L12" s="20">
        <v>68.3</v>
      </c>
      <c r="M12" s="20">
        <v>67.5</v>
      </c>
      <c r="N12" s="20">
        <v>62.300000000000011</v>
      </c>
    </row>
    <row r="13" spans="1:14" s="21" customFormat="1">
      <c r="A13" s="21" t="s">
        <v>51</v>
      </c>
      <c r="B13" s="21">
        <f>+B12/F12-1</f>
        <v>7.7868852459016535E-2</v>
      </c>
      <c r="C13" s="21">
        <f>+C12/G12-1</f>
        <v>7.2210065645514243E-2</v>
      </c>
      <c r="D13" s="21">
        <f>+D12/H12-1</f>
        <v>-4.417322834645665E-2</v>
      </c>
      <c r="E13" s="21">
        <f>+E12/I12-1</f>
        <v>-0.12547051442910917</v>
      </c>
      <c r="F13" s="21">
        <f>+F12/J12-1</f>
        <v>9.2537313432835777E-2</v>
      </c>
      <c r="H13" s="21">
        <f>+H12/L12-1</f>
        <v>0.11566617862371897</v>
      </c>
      <c r="I13" s="21">
        <f>+I12/M12-1</f>
        <v>0.18074074074074087</v>
      </c>
      <c r="J13" s="21">
        <f>+J12/N12-1</f>
        <v>7.5441412520063977E-2</v>
      </c>
    </row>
    <row r="14" spans="1:14" s="24" customFormat="1">
      <c r="A14" s="22" t="s">
        <v>52</v>
      </c>
      <c r="B14" s="23" t="s">
        <v>3</v>
      </c>
      <c r="C14" s="23" t="s">
        <v>3</v>
      </c>
      <c r="D14" s="23" t="s">
        <v>3</v>
      </c>
      <c r="E14" s="23" t="s">
        <v>3</v>
      </c>
      <c r="F14" s="23" t="s">
        <v>3</v>
      </c>
      <c r="G14" s="23"/>
      <c r="H14" s="23" t="s">
        <v>3</v>
      </c>
      <c r="I14" s="23" t="s">
        <v>3</v>
      </c>
      <c r="J14" s="23" t="s">
        <v>3</v>
      </c>
      <c r="K14" s="23"/>
      <c r="L14" s="23"/>
      <c r="M14" s="23"/>
      <c r="N14" s="23"/>
    </row>
    <row r="16" spans="1:14" s="17" customFormat="1">
      <c r="A16" s="25" t="s">
        <v>53</v>
      </c>
      <c r="B16" s="26">
        <v>17.399999999999999</v>
      </c>
      <c r="C16" s="26">
        <v>29.4</v>
      </c>
      <c r="D16" s="26">
        <v>25.7</v>
      </c>
      <c r="E16" s="26">
        <v>21.4</v>
      </c>
      <c r="F16" s="26">
        <v>22.9</v>
      </c>
      <c r="G16" s="26">
        <v>29</v>
      </c>
      <c r="H16" s="26">
        <v>23.5</v>
      </c>
      <c r="I16" s="26">
        <v>26.3</v>
      </c>
      <c r="J16" s="26">
        <v>20.2</v>
      </c>
      <c r="K16" s="26"/>
      <c r="L16" s="26">
        <v>20.100000000000001</v>
      </c>
      <c r="M16" s="26">
        <v>17.100000000000001</v>
      </c>
      <c r="N16" s="26">
        <v>15.699999999999996</v>
      </c>
    </row>
    <row r="17" spans="1:14" s="21" customFormat="1">
      <c r="A17" s="21" t="s">
        <v>54</v>
      </c>
      <c r="B17" s="21">
        <f t="shared" ref="B17:J17" si="1">+B16/B12</f>
        <v>0.22053231939163495</v>
      </c>
      <c r="C17" s="21">
        <f t="shared" si="1"/>
        <v>0.3</v>
      </c>
      <c r="D17" s="21">
        <f t="shared" si="1"/>
        <v>0.35285718208528982</v>
      </c>
      <c r="E17" s="21">
        <f t="shared" si="1"/>
        <v>0.30703012912482064</v>
      </c>
      <c r="F17" s="21">
        <f t="shared" si="1"/>
        <v>0.31284153005464477</v>
      </c>
      <c r="G17" s="21">
        <f t="shared" si="1"/>
        <v>0.3172866520787746</v>
      </c>
      <c r="H17" s="21">
        <f t="shared" si="1"/>
        <v>0.30839895013123358</v>
      </c>
      <c r="I17" s="21">
        <f t="shared" si="1"/>
        <v>0.32998745294855708</v>
      </c>
      <c r="J17" s="21">
        <f t="shared" si="1"/>
        <v>0.30149253731343284</v>
      </c>
      <c r="L17" s="21">
        <f t="shared" ref="L17" si="2">+L16/L12</f>
        <v>0.294289897510981</v>
      </c>
      <c r="M17" s="21">
        <f t="shared" ref="M17:N17" si="3">+M16/M12</f>
        <v>0.25333333333333335</v>
      </c>
      <c r="N17" s="21">
        <f t="shared" si="3"/>
        <v>0.25200642054574629</v>
      </c>
    </row>
    <row r="18" spans="1:14" s="24" customFormat="1"/>
    <row r="19" spans="1:14" s="24" customFormat="1">
      <c r="A19" s="19" t="s">
        <v>55</v>
      </c>
      <c r="B19" s="20">
        <v>0</v>
      </c>
      <c r="C19" s="20">
        <v>0</v>
      </c>
      <c r="D19" s="20">
        <v>0</v>
      </c>
      <c r="E19" s="20">
        <v>0</v>
      </c>
      <c r="F19" s="20">
        <v>0</v>
      </c>
      <c r="G19" s="20">
        <v>0</v>
      </c>
      <c r="H19" s="20">
        <v>0</v>
      </c>
      <c r="I19" s="20">
        <v>0</v>
      </c>
      <c r="J19" s="20">
        <v>0</v>
      </c>
      <c r="K19" s="20"/>
      <c r="L19" s="20">
        <v>0</v>
      </c>
      <c r="M19" s="20">
        <v>0</v>
      </c>
      <c r="N19" s="20">
        <v>0</v>
      </c>
    </row>
    <row r="20" spans="1:14" s="24" customFormat="1">
      <c r="A20" s="19" t="s">
        <v>56</v>
      </c>
      <c r="B20" s="20">
        <v>0</v>
      </c>
      <c r="C20" s="20">
        <v>0</v>
      </c>
      <c r="D20" s="20">
        <v>0</v>
      </c>
      <c r="E20" s="20">
        <v>0</v>
      </c>
      <c r="F20" s="20">
        <v>0</v>
      </c>
      <c r="G20" s="20">
        <v>0</v>
      </c>
      <c r="H20" s="20">
        <v>0</v>
      </c>
      <c r="I20" s="20">
        <v>0</v>
      </c>
      <c r="J20" s="20">
        <v>0</v>
      </c>
      <c r="K20" s="20"/>
      <c r="L20" s="20">
        <v>0</v>
      </c>
      <c r="M20" s="20">
        <v>0</v>
      </c>
      <c r="N20" s="20">
        <v>0</v>
      </c>
    </row>
    <row r="21" spans="1:14" s="24" customFormat="1">
      <c r="A21" s="19" t="s">
        <v>57</v>
      </c>
      <c r="B21" s="20">
        <v>0</v>
      </c>
      <c r="C21" s="20">
        <v>0</v>
      </c>
      <c r="D21" s="20">
        <v>0</v>
      </c>
      <c r="E21" s="20">
        <v>0</v>
      </c>
      <c r="F21" s="20">
        <v>0</v>
      </c>
      <c r="G21" s="20">
        <v>0</v>
      </c>
      <c r="H21" s="20">
        <v>0</v>
      </c>
      <c r="I21" s="20">
        <v>0</v>
      </c>
      <c r="J21" s="20">
        <v>0</v>
      </c>
      <c r="K21" s="20"/>
      <c r="L21" s="20">
        <v>0</v>
      </c>
      <c r="M21" s="20">
        <v>0</v>
      </c>
      <c r="N21" s="20">
        <v>0</v>
      </c>
    </row>
    <row r="22" spans="1:14" s="17" customFormat="1">
      <c r="A22" s="17" t="s">
        <v>58</v>
      </c>
      <c r="B22" s="27">
        <f t="shared" ref="B22:J22" si="4">SUM(B16,B19:B21)</f>
        <v>17.399999999999999</v>
      </c>
      <c r="C22" s="27">
        <f t="shared" si="4"/>
        <v>29.4</v>
      </c>
      <c r="D22" s="27">
        <f t="shared" si="4"/>
        <v>25.7</v>
      </c>
      <c r="E22" s="27">
        <f t="shared" si="4"/>
        <v>21.4</v>
      </c>
      <c r="F22" s="27">
        <f t="shared" si="4"/>
        <v>22.9</v>
      </c>
      <c r="G22" s="27">
        <f t="shared" si="4"/>
        <v>29</v>
      </c>
      <c r="H22" s="27">
        <f t="shared" si="4"/>
        <v>23.5</v>
      </c>
      <c r="I22" s="27">
        <f t="shared" si="4"/>
        <v>26.3</v>
      </c>
      <c r="J22" s="27">
        <f t="shared" si="4"/>
        <v>20.2</v>
      </c>
      <c r="K22" s="27"/>
      <c r="L22" s="27">
        <f t="shared" ref="L22" si="5">SUM(L16,L19:L21)</f>
        <v>20.100000000000001</v>
      </c>
      <c r="M22" s="27">
        <f t="shared" ref="M22:N22" si="6">SUM(M16,M19:M21)</f>
        <v>17.100000000000001</v>
      </c>
      <c r="N22" s="27">
        <f t="shared" si="6"/>
        <v>15.699999999999996</v>
      </c>
    </row>
    <row r="23" spans="1:14" s="17" customFormat="1">
      <c r="B23" s="27"/>
      <c r="C23" s="27"/>
      <c r="D23" s="27"/>
      <c r="E23" s="27"/>
      <c r="F23" s="27"/>
      <c r="G23" s="27"/>
      <c r="H23" s="27"/>
      <c r="I23" s="27"/>
      <c r="J23" s="27"/>
      <c r="K23" s="27"/>
      <c r="L23" s="27"/>
      <c r="M23" s="27"/>
      <c r="N23" s="27"/>
    </row>
    <row r="24" spans="1:14" s="17" customFormat="1">
      <c r="A24" s="17" t="s">
        <v>59</v>
      </c>
      <c r="B24" s="65">
        <f>C24+B22-F22</f>
        <v>93.799999999999983</v>
      </c>
      <c r="C24" s="46">
        <v>99.3</v>
      </c>
      <c r="D24" s="46">
        <v>98.8</v>
      </c>
      <c r="E24" s="46">
        <v>96.5</v>
      </c>
      <c r="F24" s="46">
        <v>99</v>
      </c>
      <c r="G24" s="46">
        <v>97.5</v>
      </c>
      <c r="H24" s="65">
        <f>I24+H22-L22</f>
        <v>87.199999999999989</v>
      </c>
      <c r="I24" s="46">
        <v>83.8</v>
      </c>
      <c r="J24" s="27"/>
      <c r="K24" s="27"/>
      <c r="L24" s="27"/>
      <c r="M24" s="27"/>
      <c r="N24" s="27"/>
    </row>
    <row r="25" spans="1:14" s="24" customFormat="1">
      <c r="A25" s="19" t="s">
        <v>60</v>
      </c>
      <c r="B25" s="28">
        <v>0</v>
      </c>
      <c r="C25" s="28">
        <v>0</v>
      </c>
      <c r="D25" s="28">
        <v>0</v>
      </c>
      <c r="E25" s="28">
        <v>0</v>
      </c>
      <c r="F25" s="28">
        <v>0</v>
      </c>
      <c r="G25" s="28">
        <v>0</v>
      </c>
      <c r="H25" s="28">
        <f>113.5-H24</f>
        <v>26.300000000000011</v>
      </c>
      <c r="I25" s="28">
        <f>93.5-I24</f>
        <v>9.7000000000000028</v>
      </c>
      <c r="J25" s="28"/>
      <c r="K25" s="28"/>
      <c r="L25" s="28"/>
      <c r="M25" s="28"/>
      <c r="N25" s="28"/>
    </row>
    <row r="26" spans="1:14" s="24" customFormat="1">
      <c r="A26" s="19" t="s">
        <v>61</v>
      </c>
      <c r="B26" s="29">
        <v>0</v>
      </c>
      <c r="C26" s="29">
        <v>0</v>
      </c>
      <c r="D26" s="29">
        <v>0</v>
      </c>
      <c r="E26" s="29">
        <v>0</v>
      </c>
      <c r="F26" s="29">
        <v>0</v>
      </c>
      <c r="G26" s="29">
        <v>0</v>
      </c>
      <c r="H26" s="29">
        <v>0</v>
      </c>
      <c r="I26" s="29">
        <v>0</v>
      </c>
      <c r="J26" s="29"/>
      <c r="K26" s="29"/>
      <c r="L26" s="29"/>
      <c r="M26" s="29"/>
      <c r="N26" s="29"/>
    </row>
    <row r="27" spans="1:14" s="32" customFormat="1">
      <c r="A27" s="17" t="s">
        <v>62</v>
      </c>
      <c r="B27" s="27">
        <f t="shared" ref="B27:G27" si="7">B24+B25+B26</f>
        <v>93.799999999999983</v>
      </c>
      <c r="C27" s="27">
        <f t="shared" si="7"/>
        <v>99.3</v>
      </c>
      <c r="D27" s="27">
        <f t="shared" si="7"/>
        <v>98.8</v>
      </c>
      <c r="E27" s="27">
        <f t="shared" si="7"/>
        <v>96.5</v>
      </c>
      <c r="F27" s="27">
        <f t="shared" si="7"/>
        <v>99</v>
      </c>
      <c r="G27" s="27">
        <f t="shared" si="7"/>
        <v>97.5</v>
      </c>
      <c r="H27" s="27">
        <f t="shared" ref="H27:I27" si="8">SUM(H24:H26)</f>
        <v>113.5</v>
      </c>
      <c r="I27" s="27">
        <f t="shared" si="8"/>
        <v>93.5</v>
      </c>
      <c r="J27" s="27"/>
      <c r="K27" s="27"/>
      <c r="L27" s="27"/>
      <c r="M27" s="27"/>
      <c r="N27" s="27"/>
    </row>
    <row r="28" spans="1:14" s="24" customFormat="1"/>
    <row r="29" spans="1:14" s="17" customFormat="1">
      <c r="A29" s="17" t="s">
        <v>58</v>
      </c>
      <c r="B29" s="27">
        <f t="shared" ref="B29" si="9">B22</f>
        <v>17.399999999999999</v>
      </c>
      <c r="C29" s="27">
        <f t="shared" ref="C29:D29" si="10">C22</f>
        <v>29.4</v>
      </c>
      <c r="D29" s="27">
        <f t="shared" si="10"/>
        <v>25.7</v>
      </c>
      <c r="E29" s="27">
        <f t="shared" ref="E29:J29" si="11">E22</f>
        <v>21.4</v>
      </c>
      <c r="F29" s="27">
        <f t="shared" si="11"/>
        <v>22.9</v>
      </c>
      <c r="G29" s="27"/>
      <c r="H29" s="27">
        <f t="shared" si="11"/>
        <v>23.5</v>
      </c>
      <c r="I29" s="27">
        <f t="shared" si="11"/>
        <v>26.3</v>
      </c>
      <c r="J29" s="27">
        <f t="shared" si="11"/>
        <v>20.2</v>
      </c>
      <c r="K29" s="27"/>
      <c r="L29" s="27"/>
      <c r="M29" s="27"/>
      <c r="N29" s="27"/>
    </row>
    <row r="30" spans="1:14" s="33" customFormat="1">
      <c r="A30" s="20" t="s">
        <v>63</v>
      </c>
      <c r="B30" s="20"/>
      <c r="C30" s="20"/>
      <c r="D30" s="20"/>
      <c r="E30" s="20">
        <v>-2.4169999999999998</v>
      </c>
      <c r="F30" s="20">
        <f>-8.493-E30</f>
        <v>-6.0760000000000005</v>
      </c>
      <c r="G30" s="20"/>
      <c r="H30" s="20">
        <f>-11.491-I30-J30</f>
        <v>-7.9499999999999993</v>
      </c>
      <c r="I30" s="20">
        <v>-3.5409999999999999</v>
      </c>
      <c r="J30" s="20">
        <v>0</v>
      </c>
      <c r="K30" s="20"/>
      <c r="L30" s="20"/>
      <c r="M30" s="20"/>
      <c r="N30" s="20"/>
    </row>
    <row r="31" spans="1:14" s="33" customFormat="1">
      <c r="A31" s="20" t="s">
        <v>64</v>
      </c>
      <c r="B31" s="20"/>
      <c r="C31" s="20"/>
      <c r="D31" s="20"/>
      <c r="E31" s="20">
        <v>-6.0380000000000003</v>
      </c>
      <c r="F31" s="20">
        <f>-19.155-E31</f>
        <v>-13.117000000000001</v>
      </c>
      <c r="G31" s="20"/>
      <c r="H31" s="20">
        <f>-2.659-I31-J31</f>
        <v>-0.73199999999999998</v>
      </c>
      <c r="I31" s="20">
        <v>4.7E-2</v>
      </c>
      <c r="J31" s="20">
        <v>-1.974</v>
      </c>
      <c r="K31" s="20"/>
      <c r="L31" s="20"/>
      <c r="M31" s="20"/>
      <c r="N31" s="20"/>
    </row>
    <row r="32" spans="1:14" s="33" customFormat="1">
      <c r="A32" s="20" t="s">
        <v>65</v>
      </c>
      <c r="B32" s="20"/>
      <c r="C32" s="20"/>
      <c r="D32" s="20">
        <f>1.189-11.837-4.531-0.176-0.016-0.138-4.999+13.149+1.509-0.001</f>
        <v>-5.851</v>
      </c>
      <c r="E32" s="20">
        <f>0.412-8.316+23.251-1.839-0.37-0.545+2.517+0.22-0.172-0.005</f>
        <v>15.153</v>
      </c>
      <c r="F32" s="20">
        <f>-5.03-3.398+6.714+0.642+0.061-21.954+0.165+0.015+0.005</f>
        <v>-22.78</v>
      </c>
      <c r="G32" s="20"/>
      <c r="H32" s="20">
        <f>6.42-12.368-1.403-0.59-4.307+1.352+0.067+0.39-I32-J32</f>
        <v>11.665000000000003</v>
      </c>
      <c r="I32" s="20">
        <v>-7.8380000000000001</v>
      </c>
      <c r="J32" s="20">
        <v>-14.266000000000002</v>
      </c>
      <c r="K32" s="20"/>
      <c r="L32" s="20"/>
      <c r="M32" s="20"/>
      <c r="N32" s="20"/>
    </row>
    <row r="33" spans="1:14" s="33" customFormat="1">
      <c r="A33" s="20" t="s">
        <v>66</v>
      </c>
      <c r="B33" s="20"/>
      <c r="C33" s="20"/>
      <c r="D33" s="20"/>
      <c r="E33" s="20">
        <v>0</v>
      </c>
      <c r="F33" s="20">
        <v>0</v>
      </c>
      <c r="G33" s="20"/>
      <c r="H33" s="20">
        <v>0</v>
      </c>
      <c r="I33" s="20">
        <v>0</v>
      </c>
      <c r="J33" s="20">
        <v>0</v>
      </c>
      <c r="K33" s="20"/>
      <c r="L33" s="20"/>
      <c r="M33" s="20"/>
      <c r="N33" s="20"/>
    </row>
    <row r="34" spans="1:14" s="33" customFormat="1">
      <c r="A34" s="20" t="s">
        <v>57</v>
      </c>
      <c r="B34" s="29"/>
      <c r="C34" s="29"/>
      <c r="D34" s="29"/>
      <c r="E34" s="29">
        <v>0</v>
      </c>
      <c r="F34" s="29">
        <v>0</v>
      </c>
      <c r="G34" s="29"/>
      <c r="H34" s="29">
        <v>0</v>
      </c>
      <c r="I34" s="29">
        <v>0</v>
      </c>
      <c r="J34" s="29">
        <v>0</v>
      </c>
      <c r="K34" s="29"/>
      <c r="L34" s="29"/>
      <c r="M34" s="29"/>
      <c r="N34" s="29"/>
    </row>
    <row r="35" spans="1:14" s="27" customFormat="1">
      <c r="A35" s="27" t="s">
        <v>67</v>
      </c>
      <c r="C35" s="27">
        <f>-18.849-D35-E35-F35</f>
        <v>8.48</v>
      </c>
      <c r="D35" s="27">
        <f>11.132</f>
        <v>11.132</v>
      </c>
      <c r="E35" s="27">
        <v>-6.4249999999999998</v>
      </c>
      <c r="F35" s="27">
        <v>-32.036000000000001</v>
      </c>
      <c r="G35" s="27">
        <f>-13.477-H35-I35-J35</f>
        <v>-37.228000000000002</v>
      </c>
      <c r="H35" s="27">
        <f>23.751-I35-J35</f>
        <v>17.628</v>
      </c>
      <c r="I35" s="27">
        <v>3.3940000000000001</v>
      </c>
      <c r="J35" s="27">
        <v>2.7290000000000001</v>
      </c>
    </row>
    <row r="36" spans="1:14" s="33" customFormat="1">
      <c r="A36" s="20" t="s">
        <v>68</v>
      </c>
      <c r="B36" s="29"/>
      <c r="C36" s="29">
        <f>-5.276-D36-E36-F36</f>
        <v>-1.6129999999999998</v>
      </c>
      <c r="D36" s="29">
        <f>-1.811</f>
        <v>-1.8109999999999999</v>
      </c>
      <c r="E36" s="29">
        <v>-1.8520000000000001</v>
      </c>
      <c r="F36" s="29">
        <v>0</v>
      </c>
      <c r="G36" s="29">
        <f>-1.843-H36-I36-J36</f>
        <v>3.4539999999999997</v>
      </c>
      <c r="H36" s="29">
        <f>-5.297-I36-J36</f>
        <v>-1.7149999999999996</v>
      </c>
      <c r="I36" s="29">
        <v>-1.905</v>
      </c>
      <c r="J36" s="29">
        <v>-1.6769999999999998</v>
      </c>
      <c r="K36" s="29"/>
      <c r="L36" s="29"/>
      <c r="M36" s="29"/>
      <c r="N36" s="29"/>
    </row>
    <row r="37" spans="1:14" s="27" customFormat="1">
      <c r="A37" s="27" t="s">
        <v>69</v>
      </c>
      <c r="B37" s="159" t="s">
        <v>112</v>
      </c>
      <c r="C37" s="27">
        <f t="shared" ref="C37:J37" si="12">C35+C36</f>
        <v>6.8670000000000009</v>
      </c>
      <c r="D37" s="27">
        <f t="shared" si="12"/>
        <v>9.3209999999999997</v>
      </c>
      <c r="E37" s="27">
        <f t="shared" si="12"/>
        <v>-8.2769999999999992</v>
      </c>
      <c r="F37" s="27">
        <f t="shared" si="12"/>
        <v>-32.036000000000001</v>
      </c>
      <c r="G37" s="27">
        <f t="shared" si="12"/>
        <v>-33.774000000000001</v>
      </c>
      <c r="H37" s="27">
        <f t="shared" si="12"/>
        <v>15.913</v>
      </c>
      <c r="I37" s="27">
        <f t="shared" si="12"/>
        <v>1.4890000000000001</v>
      </c>
      <c r="J37" s="27">
        <f t="shared" si="12"/>
        <v>1.0520000000000003</v>
      </c>
    </row>
    <row r="39" spans="1:14" s="35" customFormat="1">
      <c r="A39" s="34" t="s">
        <v>70</v>
      </c>
      <c r="B39" s="20">
        <v>0</v>
      </c>
      <c r="C39" s="20">
        <v>0</v>
      </c>
      <c r="D39" s="20">
        <v>0</v>
      </c>
      <c r="E39" s="20">
        <v>25</v>
      </c>
      <c r="F39" s="20">
        <v>25</v>
      </c>
      <c r="G39" s="20">
        <v>0</v>
      </c>
      <c r="H39" s="20">
        <v>0</v>
      </c>
      <c r="I39" s="20">
        <v>0</v>
      </c>
      <c r="J39" s="20">
        <v>0</v>
      </c>
      <c r="K39" s="20">
        <v>0</v>
      </c>
      <c r="L39" s="20"/>
      <c r="M39" s="20"/>
      <c r="N39" s="20"/>
    </row>
    <row r="40" spans="1:14" s="35" customFormat="1">
      <c r="A40" s="34" t="s">
        <v>71</v>
      </c>
      <c r="B40" s="20">
        <v>532.29999999999995</v>
      </c>
      <c r="C40" s="20">
        <v>532.29999999999995</v>
      </c>
      <c r="D40" s="20">
        <v>533.70000000000005</v>
      </c>
      <c r="E40" s="20">
        <v>535</v>
      </c>
      <c r="F40" s="20">
        <v>535</v>
      </c>
      <c r="G40" s="20">
        <v>535</v>
      </c>
      <c r="H40" s="20">
        <v>425</v>
      </c>
      <c r="I40" s="20">
        <v>450</v>
      </c>
      <c r="J40" s="20">
        <v>450</v>
      </c>
      <c r="K40" s="20">
        <v>450</v>
      </c>
      <c r="L40" s="20"/>
      <c r="M40" s="20"/>
      <c r="N40" s="20"/>
    </row>
    <row r="41" spans="1:14" s="35" customFormat="1">
      <c r="A41" s="34" t="s">
        <v>72</v>
      </c>
      <c r="B41" s="20">
        <f t="shared" ref="B41:K41" si="13">B39+B40</f>
        <v>532.29999999999995</v>
      </c>
      <c r="C41" s="20">
        <f t="shared" si="13"/>
        <v>532.29999999999995</v>
      </c>
      <c r="D41" s="20">
        <f t="shared" si="13"/>
        <v>533.70000000000005</v>
      </c>
      <c r="E41" s="20">
        <f t="shared" si="13"/>
        <v>560</v>
      </c>
      <c r="F41" s="20">
        <f t="shared" si="13"/>
        <v>560</v>
      </c>
      <c r="G41" s="20">
        <f t="shared" si="13"/>
        <v>535</v>
      </c>
      <c r="H41" s="20">
        <f t="shared" si="13"/>
        <v>425</v>
      </c>
      <c r="I41" s="20">
        <f t="shared" si="13"/>
        <v>450</v>
      </c>
      <c r="J41" s="20">
        <f t="shared" si="13"/>
        <v>450</v>
      </c>
      <c r="K41" s="20">
        <f t="shared" si="13"/>
        <v>450</v>
      </c>
      <c r="L41" s="20"/>
      <c r="M41" s="20"/>
      <c r="N41" s="20"/>
    </row>
    <row r="42" spans="1:14" s="35" customFormat="1">
      <c r="A42" s="34" t="s">
        <v>73</v>
      </c>
      <c r="B42" s="36">
        <v>541</v>
      </c>
      <c r="C42" s="36">
        <v>541</v>
      </c>
      <c r="D42" s="36">
        <v>541</v>
      </c>
      <c r="E42" s="36">
        <v>541</v>
      </c>
      <c r="F42" s="36">
        <v>541</v>
      </c>
      <c r="G42" s="36">
        <v>541</v>
      </c>
      <c r="H42" s="36">
        <v>165.1</v>
      </c>
      <c r="I42" s="36">
        <v>639.59999999999991</v>
      </c>
      <c r="J42" s="36">
        <v>639.59999999999991</v>
      </c>
      <c r="K42" s="36">
        <v>639.59999999999991</v>
      </c>
      <c r="L42" s="36"/>
      <c r="M42" s="36"/>
      <c r="N42" s="36"/>
    </row>
    <row r="43" spans="1:14">
      <c r="B43" s="35"/>
      <c r="C43" s="35"/>
      <c r="D43" s="35"/>
      <c r="E43" s="35"/>
      <c r="F43" s="35"/>
      <c r="G43" s="35"/>
      <c r="H43" s="35"/>
      <c r="I43" s="35"/>
      <c r="J43" s="35"/>
      <c r="K43" s="35"/>
      <c r="L43" s="35"/>
      <c r="M43" s="35"/>
    </row>
    <row r="44" spans="1:14">
      <c r="A44" s="19" t="s">
        <v>74</v>
      </c>
      <c r="B44" s="28">
        <v>52.8</v>
      </c>
      <c r="C44" s="28">
        <v>39.1</v>
      </c>
      <c r="D44" s="28">
        <v>30.8</v>
      </c>
      <c r="E44" s="28">
        <v>39</v>
      </c>
      <c r="F44" s="28">
        <v>47.6</v>
      </c>
      <c r="G44" s="28">
        <v>15</v>
      </c>
      <c r="H44" s="28">
        <v>35.015000000000001</v>
      </c>
      <c r="I44" s="28">
        <v>32.6</v>
      </c>
      <c r="J44" s="28">
        <v>30</v>
      </c>
      <c r="K44" s="28">
        <v>30</v>
      </c>
      <c r="L44" s="28"/>
      <c r="M44" s="28"/>
      <c r="N44" s="28"/>
    </row>
    <row r="45" spans="1:14">
      <c r="F45" s="33"/>
    </row>
    <row r="46" spans="1:14">
      <c r="A46" s="14" t="s">
        <v>75</v>
      </c>
      <c r="B46" s="58">
        <f t="shared" ref="B46:G46" si="14">SUM(B12:E12)</f>
        <v>319.43400000000003</v>
      </c>
      <c r="C46" s="58">
        <f t="shared" si="14"/>
        <v>313.73399999999998</v>
      </c>
      <c r="D46" s="58">
        <f t="shared" si="14"/>
        <v>307.13400000000001</v>
      </c>
      <c r="E46" s="58">
        <f t="shared" si="14"/>
        <v>310.5</v>
      </c>
      <c r="F46" s="58">
        <f t="shared" si="14"/>
        <v>320.5</v>
      </c>
      <c r="G46" s="58">
        <f t="shared" si="14"/>
        <v>314.3</v>
      </c>
      <c r="H46" s="58">
        <f>I46+H12-L12</f>
        <v>295.74799999999993</v>
      </c>
      <c r="I46" s="58">
        <f>J46+I12-M12</f>
        <v>287.84799999999996</v>
      </c>
      <c r="J46" s="58">
        <f>K46+J12-N12</f>
        <v>275.64799999999997</v>
      </c>
      <c r="K46" s="58">
        <v>270.94799999999998</v>
      </c>
      <c r="L46" s="33"/>
      <c r="M46" s="33"/>
      <c r="N46" s="33"/>
    </row>
    <row r="47" spans="1:14">
      <c r="A47" s="14" t="s">
        <v>76</v>
      </c>
      <c r="B47" s="58">
        <f t="shared" ref="B47:I47" si="15">B27</f>
        <v>93.799999999999983</v>
      </c>
      <c r="C47" s="58">
        <f t="shared" si="15"/>
        <v>99.3</v>
      </c>
      <c r="D47" s="58">
        <f t="shared" si="15"/>
        <v>98.8</v>
      </c>
      <c r="E47" s="58">
        <f t="shared" si="15"/>
        <v>96.5</v>
      </c>
      <c r="F47" s="58">
        <f t="shared" si="15"/>
        <v>99</v>
      </c>
      <c r="G47" s="58">
        <f t="shared" si="15"/>
        <v>97.5</v>
      </c>
      <c r="H47" s="58">
        <f t="shared" si="15"/>
        <v>113.5</v>
      </c>
      <c r="I47" s="58">
        <f t="shared" si="15"/>
        <v>93.5</v>
      </c>
      <c r="J47" s="51">
        <v>88.3</v>
      </c>
      <c r="K47" s="51">
        <v>88.3</v>
      </c>
      <c r="L47" s="33"/>
      <c r="M47" s="33"/>
      <c r="N47" s="33"/>
    </row>
    <row r="48" spans="1:14">
      <c r="A48" s="14" t="s">
        <v>77</v>
      </c>
      <c r="B48" s="58"/>
      <c r="C48" s="58">
        <f>D48+C37-G37</f>
        <v>82.195000000000007</v>
      </c>
      <c r="D48" s="58">
        <f>E48+D37-H37</f>
        <v>41.554000000000002</v>
      </c>
      <c r="E48" s="58">
        <f>F48+E37-I37</f>
        <v>48.146000000000001</v>
      </c>
      <c r="F48" s="58">
        <f>G48+F37-J37</f>
        <v>57.911999999999999</v>
      </c>
      <c r="G48" s="51">
        <v>91</v>
      </c>
      <c r="H48" s="58">
        <f>H47*I48/I47</f>
        <v>64.89680634201585</v>
      </c>
      <c r="I48" s="58">
        <f>I47*J48/J47</f>
        <v>53.461245753114383</v>
      </c>
      <c r="J48" s="51">
        <v>50.488</v>
      </c>
      <c r="K48" s="51">
        <v>50.488</v>
      </c>
      <c r="L48" s="33"/>
      <c r="M48" s="33"/>
      <c r="N48" s="33"/>
    </row>
    <row r="50" spans="1:14" s="37" customFormat="1">
      <c r="A50" s="37" t="s">
        <v>78</v>
      </c>
      <c r="B50" s="37">
        <f t="shared" ref="B50:C50" si="16">+SUM(B39:B40)/B47</f>
        <v>5.6748400852878467</v>
      </c>
      <c r="C50" s="37">
        <f t="shared" si="16"/>
        <v>5.3605236656596169</v>
      </c>
      <c r="D50" s="37">
        <f t="shared" ref="D50:E50" si="17">+SUM(D39:D40)/D47</f>
        <v>5.4018218623481786</v>
      </c>
      <c r="E50" s="37">
        <f t="shared" si="17"/>
        <v>5.8031088082901556</v>
      </c>
      <c r="F50" s="37">
        <f t="shared" ref="F50:K50" si="18">+SUM(F39:F40)/F47</f>
        <v>5.6565656565656566</v>
      </c>
      <c r="G50" s="37">
        <f t="shared" si="18"/>
        <v>5.4871794871794872</v>
      </c>
      <c r="H50" s="37">
        <f t="shared" si="18"/>
        <v>3.7444933920704844</v>
      </c>
      <c r="I50" s="37">
        <f t="shared" si="18"/>
        <v>4.8128342245989302</v>
      </c>
      <c r="J50" s="37">
        <f t="shared" si="18"/>
        <v>5.0962627406568517</v>
      </c>
      <c r="K50" s="37">
        <f t="shared" si="18"/>
        <v>5.0962627406568517</v>
      </c>
    </row>
    <row r="51" spans="1:14" s="37" customFormat="1">
      <c r="A51" s="37" t="s">
        <v>79</v>
      </c>
      <c r="B51" s="37">
        <f t="shared" ref="B51:C51" si="19">+B41/B47</f>
        <v>5.6748400852878467</v>
      </c>
      <c r="C51" s="37">
        <f t="shared" si="19"/>
        <v>5.3605236656596169</v>
      </c>
      <c r="D51" s="37">
        <f t="shared" ref="D51:E51" si="20">+D41/D47</f>
        <v>5.4018218623481786</v>
      </c>
      <c r="E51" s="37">
        <f t="shared" si="20"/>
        <v>5.8031088082901556</v>
      </c>
      <c r="F51" s="37">
        <f t="shared" ref="F51:K51" si="21">+F41/F47</f>
        <v>5.6565656565656566</v>
      </c>
      <c r="G51" s="37">
        <f t="shared" si="21"/>
        <v>5.4871794871794872</v>
      </c>
      <c r="H51" s="37">
        <f t="shared" si="21"/>
        <v>3.7444933920704844</v>
      </c>
      <c r="I51" s="37">
        <f t="shared" si="21"/>
        <v>4.8128342245989302</v>
      </c>
      <c r="J51" s="37">
        <f t="shared" si="21"/>
        <v>5.0962627406568517</v>
      </c>
      <c r="K51" s="37">
        <f t="shared" si="21"/>
        <v>5.0962627406568517</v>
      </c>
    </row>
    <row r="52" spans="1:14" s="37" customFormat="1">
      <c r="A52" s="37" t="s">
        <v>80</v>
      </c>
      <c r="B52" s="37">
        <f t="shared" ref="B52:C52" si="22">+(B41-B44)/B47</f>
        <v>5.1119402985074629</v>
      </c>
      <c r="C52" s="37">
        <f t="shared" si="22"/>
        <v>4.9667673716012075</v>
      </c>
      <c r="D52" s="37">
        <f t="shared" ref="D52:E52" si="23">+(D41-D44)/D47</f>
        <v>5.0900809716599191</v>
      </c>
      <c r="E52" s="37">
        <f t="shared" si="23"/>
        <v>5.3989637305699478</v>
      </c>
      <c r="F52" s="37">
        <f t="shared" ref="F52:K52" si="24">+(F41-F44)/F47</f>
        <v>5.1757575757575758</v>
      </c>
      <c r="G52" s="37">
        <f t="shared" si="24"/>
        <v>5.333333333333333</v>
      </c>
      <c r="H52" s="37">
        <f t="shared" si="24"/>
        <v>3.435991189427313</v>
      </c>
      <c r="I52" s="37">
        <f t="shared" si="24"/>
        <v>4.4641711229946521</v>
      </c>
      <c r="J52" s="37">
        <f t="shared" si="24"/>
        <v>4.756511891279728</v>
      </c>
      <c r="K52" s="37">
        <f t="shared" si="24"/>
        <v>4.756511891279728</v>
      </c>
    </row>
    <row r="53" spans="1:14" s="38" customFormat="1">
      <c r="A53" s="38" t="s">
        <v>81</v>
      </c>
      <c r="B53" s="38">
        <f t="shared" ref="B53:C53" si="25">+B48/B41</f>
        <v>0</v>
      </c>
      <c r="C53" s="38">
        <f t="shared" si="25"/>
        <v>0.15441480368213417</v>
      </c>
      <c r="D53" s="38">
        <f t="shared" ref="D53:E53" si="26">+D48/D41</f>
        <v>7.7860221097995119E-2</v>
      </c>
      <c r="E53" s="38">
        <f t="shared" si="26"/>
        <v>8.5974999999999996E-2</v>
      </c>
      <c r="F53" s="38">
        <f t="shared" ref="F53:K53" si="27">+F48/F41</f>
        <v>0.10341428571428571</v>
      </c>
      <c r="G53" s="38">
        <f t="shared" si="27"/>
        <v>0.17009345794392525</v>
      </c>
      <c r="H53" s="38">
        <f t="shared" si="27"/>
        <v>0.15269836786356672</v>
      </c>
      <c r="I53" s="38">
        <f t="shared" si="27"/>
        <v>0.11880276834025419</v>
      </c>
      <c r="J53" s="38">
        <f t="shared" si="27"/>
        <v>0.11219555555555555</v>
      </c>
      <c r="K53" s="38">
        <f t="shared" si="27"/>
        <v>0.11219555555555555</v>
      </c>
    </row>
    <row r="54" spans="1:14" s="38" customFormat="1">
      <c r="A54" s="39" t="s">
        <v>82</v>
      </c>
      <c r="B54" s="40"/>
      <c r="C54" s="40"/>
      <c r="D54" s="40"/>
      <c r="E54" s="40"/>
      <c r="F54" s="40"/>
      <c r="G54" s="40"/>
      <c r="H54" s="40"/>
      <c r="I54" s="40"/>
      <c r="J54" s="40"/>
      <c r="K54" s="40"/>
      <c r="L54" s="40"/>
      <c r="M54" s="40"/>
      <c r="N54" s="40"/>
    </row>
    <row r="55" spans="1:14" s="38" customFormat="1">
      <c r="A55" s="38" t="s">
        <v>83</v>
      </c>
      <c r="B55" s="41">
        <f t="shared" ref="B55:C55" si="28">IF(B42=0,IF(B54="","","*"&amp;TEXT(B54,"0.0x")),(B41+B42-B44)/B47)</f>
        <v>10.879530916844352</v>
      </c>
      <c r="C55" s="41">
        <f t="shared" si="28"/>
        <v>10.414904330312186</v>
      </c>
      <c r="D55" s="41">
        <f t="shared" ref="D55:E55" si="29">IF(D42=0,IF(D54="","","*"&amp;TEXT(D54,"0.0x")),(D41+D42-D44)/D47)</f>
        <v>10.565789473684212</v>
      </c>
      <c r="E55" s="41">
        <f t="shared" si="29"/>
        <v>11.005181347150259</v>
      </c>
      <c r="F55" s="41">
        <f t="shared" ref="F55:K55" si="30">IF(F42=0,IF(F54="","","*"&amp;TEXT(F54,"0.0x")),(F41+F42-F44)/F47)</f>
        <v>10.640404040404041</v>
      </c>
      <c r="G55" s="41">
        <f t="shared" si="30"/>
        <v>10.882051282051282</v>
      </c>
      <c r="H55" s="41">
        <f t="shared" si="30"/>
        <v>4.890616740088106</v>
      </c>
      <c r="I55" s="41">
        <f t="shared" si="30"/>
        <v>11.304812834224599</v>
      </c>
      <c r="J55" s="41">
        <f t="shared" si="30"/>
        <v>12</v>
      </c>
      <c r="K55" s="41">
        <f t="shared" si="30"/>
        <v>12</v>
      </c>
      <c r="L55" s="41"/>
      <c r="M55" s="41"/>
      <c r="N55" s="41"/>
    </row>
    <row r="57" spans="1:14" ht="80.25" customHeight="1">
      <c r="A57" s="43" t="s">
        <v>84</v>
      </c>
      <c r="B57" s="44" t="s">
        <v>289</v>
      </c>
      <c r="C57" s="44" t="s">
        <v>289</v>
      </c>
      <c r="D57" s="44" t="s">
        <v>289</v>
      </c>
      <c r="E57" s="44" t="s">
        <v>289</v>
      </c>
      <c r="F57" s="44" t="s">
        <v>289</v>
      </c>
      <c r="G57" s="44" t="s">
        <v>549</v>
      </c>
      <c r="H57" s="44" t="s">
        <v>289</v>
      </c>
      <c r="I57" s="44" t="s">
        <v>90</v>
      </c>
      <c r="J57" s="44" t="s">
        <v>468</v>
      </c>
      <c r="K57" s="44" t="s">
        <v>427</v>
      </c>
      <c r="L57" s="44"/>
      <c r="M57" s="44"/>
      <c r="N57" s="44"/>
    </row>
    <row r="58" spans="1:14">
      <c r="A58" s="45"/>
      <c r="B58" s="42"/>
      <c r="C58" s="42"/>
      <c r="D58" s="42"/>
      <c r="E58" s="42"/>
      <c r="F58" s="42"/>
      <c r="G58" s="42"/>
      <c r="H58" s="42"/>
      <c r="I58" s="42"/>
      <c r="J58" s="42"/>
      <c r="K58" s="42"/>
    </row>
    <row r="59" spans="1:14">
      <c r="A59" s="45"/>
    </row>
  </sheetData>
  <pageMargins left="0.7" right="0.7" top="0.75" bottom="0.75" header="0.3" footer="0.3"/>
  <pageSetup orientation="portrait" r:id="rId1"/>
  <ignoredErrors>
    <ignoredError sqref="B46:H48" formulaRange="1"/>
  </ignoredErrors>
  <legacyDrawing r:id="rId2"/>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2:S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14" width="10.6640625" style="14" customWidth="1"/>
    <col min="15" max="16384" width="9.109375" style="14"/>
  </cols>
  <sheetData>
    <row r="2" spans="1:19">
      <c r="A2" s="13" t="s">
        <v>44</v>
      </c>
      <c r="B2" s="14" t="s">
        <v>489</v>
      </c>
    </row>
    <row r="3" spans="1:19" s="16" customFormat="1">
      <c r="A3" s="15" t="s">
        <v>45</v>
      </c>
      <c r="B3" s="16" t="s">
        <v>442</v>
      </c>
    </row>
    <row r="4" spans="1:19">
      <c r="A4" s="13" t="s">
        <v>2</v>
      </c>
      <c r="B4" s="14" t="s">
        <v>493</v>
      </c>
    </row>
    <row r="5" spans="1:19">
      <c r="A5" s="13" t="s">
        <v>46</v>
      </c>
    </row>
    <row r="6" spans="1:19">
      <c r="A6" s="13" t="s">
        <v>47</v>
      </c>
      <c r="B6" s="14" t="s">
        <v>443</v>
      </c>
    </row>
    <row r="7" spans="1:19">
      <c r="A7" s="13" t="s">
        <v>48</v>
      </c>
      <c r="B7" s="14" t="s">
        <v>240</v>
      </c>
    </row>
    <row r="8" spans="1:19">
      <c r="A8" s="13" t="s">
        <v>347</v>
      </c>
      <c r="B8" s="14" t="s">
        <v>525</v>
      </c>
    </row>
    <row r="9" spans="1:19">
      <c r="A9" s="17"/>
    </row>
    <row r="10" spans="1:19">
      <c r="A10" s="17" t="s">
        <v>49</v>
      </c>
      <c r="B10" s="18">
        <v>44286</v>
      </c>
      <c r="C10" s="18">
        <v>44196</v>
      </c>
      <c r="D10" s="18">
        <v>44104</v>
      </c>
      <c r="E10" s="18">
        <v>44012</v>
      </c>
      <c r="F10" s="18">
        <v>43921</v>
      </c>
      <c r="G10" s="18">
        <v>43830</v>
      </c>
      <c r="H10" s="18">
        <v>43738</v>
      </c>
      <c r="I10" s="18">
        <v>43646</v>
      </c>
      <c r="J10" s="18">
        <v>43555</v>
      </c>
      <c r="K10" s="18">
        <f>EOMONTH(J10,-3)</f>
        <v>43465</v>
      </c>
      <c r="L10" s="18">
        <f t="shared" ref="L10:N10" si="0">EOMONTH(K10,-3)</f>
        <v>43373</v>
      </c>
      <c r="M10" s="18">
        <f t="shared" si="0"/>
        <v>43281</v>
      </c>
      <c r="N10" s="18">
        <f t="shared" si="0"/>
        <v>43190</v>
      </c>
    </row>
    <row r="12" spans="1:19">
      <c r="A12" s="19" t="s">
        <v>50</v>
      </c>
      <c r="B12" s="20">
        <v>1963</v>
      </c>
      <c r="C12" s="20">
        <v>1997</v>
      </c>
      <c r="D12" s="20">
        <v>982</v>
      </c>
      <c r="E12" s="20">
        <v>1470</v>
      </c>
      <c r="F12" s="20">
        <v>1718</v>
      </c>
      <c r="G12" s="20">
        <v>1908</v>
      </c>
      <c r="H12" s="20">
        <v>1476</v>
      </c>
      <c r="I12" s="20">
        <v>1705</v>
      </c>
      <c r="J12" s="20">
        <v>1749</v>
      </c>
      <c r="K12" s="20">
        <v>1886</v>
      </c>
      <c r="L12" s="20">
        <v>1529</v>
      </c>
      <c r="M12" s="20">
        <v>1407</v>
      </c>
      <c r="N12" s="20">
        <v>1593</v>
      </c>
    </row>
    <row r="13" spans="1:19" s="21" customFormat="1">
      <c r="A13" s="21" t="s">
        <v>51</v>
      </c>
      <c r="B13" s="21">
        <f t="shared" ref="B13:J13" si="1">+B12/F12-1</f>
        <v>0.14260768335273566</v>
      </c>
      <c r="C13" s="21">
        <f t="shared" si="1"/>
        <v>4.6645702306079562E-2</v>
      </c>
      <c r="D13" s="21">
        <f t="shared" si="1"/>
        <v>-0.33468834688346882</v>
      </c>
      <c r="E13" s="21">
        <f t="shared" si="1"/>
        <v>-0.1378299120234604</v>
      </c>
      <c r="F13" s="21">
        <f t="shared" si="1"/>
        <v>-1.7724413950829021E-2</v>
      </c>
      <c r="G13" s="21">
        <f t="shared" si="1"/>
        <v>1.166489925768821E-2</v>
      </c>
      <c r="H13" s="21">
        <f t="shared" si="1"/>
        <v>-3.4663178548070661E-2</v>
      </c>
      <c r="I13" s="21">
        <f t="shared" si="1"/>
        <v>0.21179815209665964</v>
      </c>
      <c r="J13" s="21">
        <f t="shared" si="1"/>
        <v>9.7928436911487671E-2</v>
      </c>
    </row>
    <row r="14" spans="1:19" s="24" customFormat="1">
      <c r="A14" s="22" t="s">
        <v>52</v>
      </c>
      <c r="B14" s="23" t="s">
        <v>3</v>
      </c>
      <c r="C14" s="23" t="s">
        <v>3</v>
      </c>
      <c r="D14" s="23" t="s">
        <v>3</v>
      </c>
      <c r="E14" s="23" t="s">
        <v>3</v>
      </c>
      <c r="F14" s="23" t="s">
        <v>3</v>
      </c>
      <c r="G14" s="23" t="s">
        <v>3</v>
      </c>
      <c r="H14" s="23" t="s">
        <v>3</v>
      </c>
      <c r="I14" s="23" t="s">
        <v>3</v>
      </c>
      <c r="J14" s="23" t="s">
        <v>3</v>
      </c>
      <c r="K14" s="23"/>
      <c r="L14" s="23"/>
      <c r="M14" s="23"/>
      <c r="N14" s="22"/>
      <c r="S14" s="145" t="s">
        <v>526</v>
      </c>
    </row>
    <row r="16" spans="1:19" s="17" customFormat="1">
      <c r="A16" s="25" t="s">
        <v>53</v>
      </c>
      <c r="B16" s="26">
        <v>779</v>
      </c>
      <c r="C16" s="26">
        <v>772</v>
      </c>
      <c r="D16" s="26">
        <v>352</v>
      </c>
      <c r="E16" s="26">
        <v>846</v>
      </c>
      <c r="F16" s="26">
        <v>792</v>
      </c>
      <c r="G16" s="26">
        <v>766</v>
      </c>
      <c r="H16" s="26">
        <v>543</v>
      </c>
      <c r="I16" s="26">
        <v>591</v>
      </c>
      <c r="J16" s="26">
        <v>607</v>
      </c>
      <c r="K16" s="26">
        <v>681</v>
      </c>
      <c r="L16" s="26">
        <v>604</v>
      </c>
      <c r="M16" s="26">
        <v>562</v>
      </c>
      <c r="N16" s="26">
        <v>659</v>
      </c>
    </row>
    <row r="17" spans="1:14" s="21" customFormat="1">
      <c r="A17" s="21" t="s">
        <v>54</v>
      </c>
      <c r="B17" s="21">
        <f t="shared" ref="B17" si="2">+B16/B12</f>
        <v>0.39684156902699946</v>
      </c>
      <c r="C17" s="21">
        <f t="shared" ref="C17:D17" si="3">+C16/C12</f>
        <v>0.38657986980470704</v>
      </c>
      <c r="D17" s="21">
        <f t="shared" si="3"/>
        <v>0.35845213849287166</v>
      </c>
      <c r="E17" s="21">
        <f t="shared" ref="E17:J17" si="4">+E16/E12</f>
        <v>0.57551020408163267</v>
      </c>
      <c r="F17" s="21">
        <f t="shared" si="4"/>
        <v>0.46100116414435388</v>
      </c>
      <c r="G17" s="21">
        <f t="shared" si="4"/>
        <v>0.40146750524109015</v>
      </c>
      <c r="H17" s="21">
        <f t="shared" si="4"/>
        <v>0.36788617886178859</v>
      </c>
      <c r="I17" s="21">
        <f t="shared" si="4"/>
        <v>0.34662756598240468</v>
      </c>
      <c r="J17" s="21">
        <f t="shared" si="4"/>
        <v>0.34705546026300743</v>
      </c>
      <c r="K17" s="21">
        <f t="shared" ref="K17:N17" si="5">+K16/K12</f>
        <v>0.36108165429480382</v>
      </c>
      <c r="L17" s="21">
        <f t="shared" si="5"/>
        <v>0.39502943100065402</v>
      </c>
      <c r="M17" s="21">
        <f t="shared" si="5"/>
        <v>0.39943141435678747</v>
      </c>
      <c r="N17" s="21">
        <f t="shared" si="5"/>
        <v>0.41368487131198994</v>
      </c>
    </row>
    <row r="18" spans="1:14" s="24" customFormat="1"/>
    <row r="19" spans="1:14" s="24" customFormat="1">
      <c r="A19" s="19" t="s">
        <v>55</v>
      </c>
      <c r="B19" s="20">
        <v>0</v>
      </c>
      <c r="C19" s="20">
        <v>0</v>
      </c>
      <c r="D19" s="20">
        <v>0</v>
      </c>
      <c r="E19" s="20">
        <v>0</v>
      </c>
      <c r="F19" s="20">
        <v>0</v>
      </c>
      <c r="G19" s="20">
        <v>0</v>
      </c>
      <c r="H19" s="20">
        <v>0</v>
      </c>
      <c r="I19" s="20">
        <v>0</v>
      </c>
      <c r="J19" s="20">
        <v>0</v>
      </c>
      <c r="K19" s="20">
        <v>0</v>
      </c>
      <c r="L19" s="20">
        <v>0</v>
      </c>
      <c r="M19" s="20">
        <v>0</v>
      </c>
      <c r="N19" s="20">
        <v>0</v>
      </c>
    </row>
    <row r="20" spans="1:14" s="24" customFormat="1">
      <c r="A20" s="19" t="s">
        <v>56</v>
      </c>
      <c r="B20" s="20">
        <v>0</v>
      </c>
      <c r="C20" s="20">
        <v>0</v>
      </c>
      <c r="D20" s="20">
        <v>0</v>
      </c>
      <c r="E20" s="20">
        <v>0</v>
      </c>
      <c r="F20" s="20">
        <v>0</v>
      </c>
      <c r="G20" s="20">
        <v>0</v>
      </c>
      <c r="H20" s="20">
        <v>0</v>
      </c>
      <c r="I20" s="20">
        <v>0</v>
      </c>
      <c r="J20" s="20">
        <v>0</v>
      </c>
      <c r="K20" s="20">
        <v>0</v>
      </c>
      <c r="L20" s="20">
        <v>0</v>
      </c>
      <c r="M20" s="20">
        <v>0</v>
      </c>
      <c r="N20" s="20">
        <v>0</v>
      </c>
    </row>
    <row r="21" spans="1:14" s="24" customFormat="1">
      <c r="A21" s="19" t="s">
        <v>57</v>
      </c>
      <c r="B21" s="20">
        <v>0</v>
      </c>
      <c r="C21" s="20">
        <v>0</v>
      </c>
      <c r="D21" s="20">
        <v>0</v>
      </c>
      <c r="E21" s="20">
        <v>0</v>
      </c>
      <c r="F21" s="20">
        <v>0</v>
      </c>
      <c r="G21" s="20">
        <v>0</v>
      </c>
      <c r="H21" s="20">
        <v>0</v>
      </c>
      <c r="I21" s="20">
        <v>0</v>
      </c>
      <c r="J21" s="20">
        <v>0</v>
      </c>
      <c r="K21" s="20">
        <v>0</v>
      </c>
      <c r="L21" s="20">
        <v>0</v>
      </c>
      <c r="M21" s="20">
        <v>0</v>
      </c>
      <c r="N21" s="20">
        <v>0</v>
      </c>
    </row>
    <row r="22" spans="1:14" s="17" customFormat="1">
      <c r="A22" s="17" t="s">
        <v>58</v>
      </c>
      <c r="B22" s="27">
        <f t="shared" ref="B22" si="6">SUM(B16,B19:B21)</f>
        <v>779</v>
      </c>
      <c r="C22" s="27">
        <f t="shared" ref="C22:D22" si="7">SUM(C16,C19:C21)</f>
        <v>772</v>
      </c>
      <c r="D22" s="27">
        <f t="shared" si="7"/>
        <v>352</v>
      </c>
      <c r="E22" s="27">
        <f t="shared" ref="E22:J22" si="8">SUM(E16,E19:E21)</f>
        <v>846</v>
      </c>
      <c r="F22" s="27">
        <f t="shared" si="8"/>
        <v>792</v>
      </c>
      <c r="G22" s="27">
        <f t="shared" si="8"/>
        <v>766</v>
      </c>
      <c r="H22" s="27">
        <f t="shared" si="8"/>
        <v>543</v>
      </c>
      <c r="I22" s="27">
        <f t="shared" si="8"/>
        <v>591</v>
      </c>
      <c r="J22" s="27">
        <f t="shared" si="8"/>
        <v>607</v>
      </c>
      <c r="K22" s="27">
        <f t="shared" ref="K22:N22" si="9">SUM(K16,K19:K21)</f>
        <v>681</v>
      </c>
      <c r="L22" s="27">
        <f t="shared" si="9"/>
        <v>604</v>
      </c>
      <c r="M22" s="27">
        <f t="shared" si="9"/>
        <v>562</v>
      </c>
      <c r="N22" s="27">
        <f t="shared" si="9"/>
        <v>659</v>
      </c>
    </row>
    <row r="23" spans="1:14" s="17" customFormat="1">
      <c r="B23" s="27"/>
      <c r="C23" s="27"/>
      <c r="D23" s="27"/>
      <c r="E23" s="27"/>
      <c r="F23" s="27"/>
      <c r="G23" s="27"/>
      <c r="H23" s="27"/>
      <c r="I23" s="27"/>
      <c r="J23" s="27"/>
      <c r="K23" s="27"/>
      <c r="L23" s="27"/>
      <c r="M23" s="27"/>
      <c r="N23" s="27"/>
    </row>
    <row r="24" spans="1:14" s="17" customFormat="1">
      <c r="A24" s="17" t="s">
        <v>59</v>
      </c>
      <c r="B24" s="27">
        <f t="shared" ref="B24:K24" si="10">SUM(B22:E22)</f>
        <v>2749</v>
      </c>
      <c r="C24" s="27">
        <f t="shared" si="10"/>
        <v>2762</v>
      </c>
      <c r="D24" s="27">
        <f t="shared" si="10"/>
        <v>2756</v>
      </c>
      <c r="E24" s="27">
        <f t="shared" si="10"/>
        <v>2947</v>
      </c>
      <c r="F24" s="27">
        <f t="shared" si="10"/>
        <v>2692</v>
      </c>
      <c r="G24" s="27">
        <f t="shared" si="10"/>
        <v>2507</v>
      </c>
      <c r="H24" s="27">
        <f t="shared" si="10"/>
        <v>2422</v>
      </c>
      <c r="I24" s="27">
        <f t="shared" si="10"/>
        <v>2483</v>
      </c>
      <c r="J24" s="27">
        <f t="shared" si="10"/>
        <v>2454</v>
      </c>
      <c r="K24" s="27">
        <f t="shared" si="10"/>
        <v>2506</v>
      </c>
      <c r="L24" s="27"/>
      <c r="M24" s="27"/>
      <c r="N24" s="27"/>
    </row>
    <row r="25" spans="1:14" s="24" customFormat="1">
      <c r="A25" s="19" t="s">
        <v>60</v>
      </c>
      <c r="B25" s="28">
        <v>0</v>
      </c>
      <c r="C25" s="28">
        <v>0</v>
      </c>
      <c r="D25" s="28">
        <v>0</v>
      </c>
      <c r="E25" s="28">
        <v>0</v>
      </c>
      <c r="F25" s="28">
        <v>0</v>
      </c>
      <c r="G25" s="28">
        <v>0</v>
      </c>
      <c r="H25" s="28">
        <v>0</v>
      </c>
      <c r="I25" s="28">
        <v>0</v>
      </c>
      <c r="J25" s="28">
        <v>0</v>
      </c>
      <c r="K25" s="28">
        <v>0</v>
      </c>
      <c r="L25" s="28"/>
      <c r="M25" s="28"/>
      <c r="N25" s="28"/>
    </row>
    <row r="26" spans="1:14" s="24" customFormat="1">
      <c r="A26" s="19" t="s">
        <v>61</v>
      </c>
      <c r="B26" s="29">
        <v>0</v>
      </c>
      <c r="C26" s="29">
        <v>0</v>
      </c>
      <c r="D26" s="29">
        <v>0</v>
      </c>
      <c r="E26" s="29">
        <v>0</v>
      </c>
      <c r="F26" s="29">
        <v>0</v>
      </c>
      <c r="G26" s="29">
        <v>0</v>
      </c>
      <c r="H26" s="29">
        <v>0</v>
      </c>
      <c r="I26" s="29">
        <v>0</v>
      </c>
      <c r="J26" s="29">
        <v>0</v>
      </c>
      <c r="K26" s="29">
        <v>0</v>
      </c>
      <c r="L26" s="29"/>
      <c r="M26" s="29"/>
      <c r="N26" s="29"/>
    </row>
    <row r="27" spans="1:14" s="32" customFormat="1">
      <c r="A27" s="17" t="s">
        <v>62</v>
      </c>
      <c r="B27" s="27">
        <f t="shared" ref="B27:C27" si="11">SUM(B24:B26)</f>
        <v>2749</v>
      </c>
      <c r="C27" s="27">
        <f t="shared" si="11"/>
        <v>2762</v>
      </c>
      <c r="D27" s="27">
        <f t="shared" ref="D27:E27" si="12">SUM(D24:D26)</f>
        <v>2756</v>
      </c>
      <c r="E27" s="27">
        <f t="shared" si="12"/>
        <v>2947</v>
      </c>
      <c r="F27" s="27">
        <f t="shared" ref="F27:K27" si="13">SUM(F24:F26)</f>
        <v>2692</v>
      </c>
      <c r="G27" s="27">
        <f t="shared" si="13"/>
        <v>2507</v>
      </c>
      <c r="H27" s="27">
        <f t="shared" si="13"/>
        <v>2422</v>
      </c>
      <c r="I27" s="27">
        <f t="shared" si="13"/>
        <v>2483</v>
      </c>
      <c r="J27" s="27">
        <f t="shared" si="13"/>
        <v>2454</v>
      </c>
      <c r="K27" s="27">
        <f t="shared" si="13"/>
        <v>2506</v>
      </c>
      <c r="L27" s="27"/>
      <c r="M27" s="27"/>
      <c r="N27" s="27"/>
    </row>
    <row r="28" spans="1:14" s="24" customFormat="1"/>
    <row r="29" spans="1:14" s="17" customFormat="1">
      <c r="A29" s="17" t="s">
        <v>58</v>
      </c>
      <c r="B29" s="27">
        <f t="shared" ref="B29" si="14">B22</f>
        <v>779</v>
      </c>
      <c r="C29" s="27">
        <f t="shared" ref="C29:D29" si="15">C22</f>
        <v>772</v>
      </c>
      <c r="D29" s="27">
        <f t="shared" si="15"/>
        <v>352</v>
      </c>
      <c r="E29" s="27">
        <f t="shared" ref="E29:F29" si="16">E22</f>
        <v>846</v>
      </c>
      <c r="F29" s="27">
        <f t="shared" si="16"/>
        <v>792</v>
      </c>
      <c r="G29" s="27">
        <f t="shared" ref="G29:H29" si="17">G22</f>
        <v>766</v>
      </c>
      <c r="H29" s="27">
        <f t="shared" si="17"/>
        <v>543</v>
      </c>
      <c r="I29" s="27">
        <f t="shared" ref="I29" si="18">I22</f>
        <v>591</v>
      </c>
      <c r="J29" s="27">
        <f t="shared" ref="J29:N29" si="19">J22</f>
        <v>607</v>
      </c>
      <c r="K29" s="27">
        <f t="shared" si="19"/>
        <v>681</v>
      </c>
      <c r="L29" s="27">
        <f t="shared" si="19"/>
        <v>604</v>
      </c>
      <c r="M29" s="27">
        <f t="shared" si="19"/>
        <v>562</v>
      </c>
      <c r="N29" s="27">
        <f t="shared" si="19"/>
        <v>659</v>
      </c>
    </row>
    <row r="30" spans="1:14" s="33" customFormat="1">
      <c r="A30" s="20" t="s">
        <v>63</v>
      </c>
      <c r="B30" s="20">
        <v>-211</v>
      </c>
      <c r="C30" s="20">
        <v>-268</v>
      </c>
      <c r="D30" s="20">
        <v>-153</v>
      </c>
      <c r="E30" s="20">
        <f>-483-F30</f>
        <v>-272</v>
      </c>
      <c r="F30" s="20">
        <v>-211</v>
      </c>
      <c r="G30" s="20">
        <v>-205</v>
      </c>
      <c r="H30" s="20">
        <v>-269</v>
      </c>
      <c r="I30" s="20">
        <f>-355-J30</f>
        <v>-170</v>
      </c>
      <c r="J30" s="20">
        <v>-185</v>
      </c>
      <c r="K30" s="20">
        <v>-133</v>
      </c>
      <c r="L30" s="20">
        <v>-236</v>
      </c>
      <c r="M30" s="20">
        <v>-108</v>
      </c>
      <c r="N30" s="20">
        <v>-242</v>
      </c>
    </row>
    <row r="31" spans="1:14" s="33" customFormat="1">
      <c r="A31" s="20" t="s">
        <v>64</v>
      </c>
      <c r="B31" s="20">
        <v>0</v>
      </c>
      <c r="C31" s="20">
        <v>0</v>
      </c>
      <c r="D31" s="20">
        <v>0</v>
      </c>
      <c r="E31" s="20">
        <v>0</v>
      </c>
      <c r="F31" s="20">
        <v>0</v>
      </c>
      <c r="G31" s="20">
        <v>0</v>
      </c>
      <c r="H31" s="20">
        <v>0</v>
      </c>
      <c r="I31" s="20">
        <v>0</v>
      </c>
      <c r="J31" s="20">
        <v>0</v>
      </c>
      <c r="K31" s="20">
        <v>0</v>
      </c>
      <c r="L31" s="20">
        <v>0</v>
      </c>
      <c r="M31" s="20">
        <v>0</v>
      </c>
      <c r="N31" s="20">
        <v>0</v>
      </c>
    </row>
    <row r="32" spans="1:14" s="33" customFormat="1">
      <c r="A32" s="20" t="s">
        <v>65</v>
      </c>
      <c r="B32" s="20">
        <v>-101</v>
      </c>
      <c r="C32" s="20">
        <v>-148</v>
      </c>
      <c r="D32" s="20">
        <v>317</v>
      </c>
      <c r="E32" s="20">
        <f>6+103+14+14-242-8-133-40-3-F32</f>
        <v>-249</v>
      </c>
      <c r="F32" s="20">
        <v>-40</v>
      </c>
      <c r="G32" s="20">
        <v>-192</v>
      </c>
      <c r="H32" s="20">
        <v>217</v>
      </c>
      <c r="I32" s="20">
        <f>70-52-25-4-123-2+7-44-3-J32</f>
        <v>-83</v>
      </c>
      <c r="J32" s="20">
        <v>-93</v>
      </c>
      <c r="K32" s="20">
        <v>57</v>
      </c>
      <c r="L32" s="20">
        <v>24</v>
      </c>
      <c r="M32" s="20">
        <v>79</v>
      </c>
      <c r="N32" s="20">
        <v>-158</v>
      </c>
    </row>
    <row r="33" spans="1:16" s="33" customFormat="1">
      <c r="A33" s="20" t="s">
        <v>66</v>
      </c>
      <c r="B33" s="20">
        <v>0</v>
      </c>
      <c r="C33" s="20">
        <v>0</v>
      </c>
      <c r="D33" s="20">
        <v>0</v>
      </c>
      <c r="E33" s="20">
        <v>0</v>
      </c>
      <c r="F33" s="20">
        <v>0</v>
      </c>
      <c r="G33" s="20">
        <v>0</v>
      </c>
      <c r="H33" s="20">
        <v>0</v>
      </c>
      <c r="I33" s="20">
        <v>0</v>
      </c>
      <c r="J33" s="20">
        <v>0</v>
      </c>
      <c r="K33" s="20">
        <v>0</v>
      </c>
      <c r="L33" s="20">
        <v>0</v>
      </c>
      <c r="M33" s="20">
        <v>0</v>
      </c>
      <c r="N33" s="20">
        <v>0</v>
      </c>
    </row>
    <row r="34" spans="1:16" s="33" customFormat="1">
      <c r="A34" s="20" t="s">
        <v>57</v>
      </c>
      <c r="B34" s="29">
        <v>0</v>
      </c>
      <c r="C34" s="29">
        <v>0</v>
      </c>
      <c r="D34" s="29">
        <v>0</v>
      </c>
      <c r="E34" s="29">
        <v>0</v>
      </c>
      <c r="F34" s="29">
        <v>0</v>
      </c>
      <c r="G34" s="29">
        <v>0</v>
      </c>
      <c r="H34" s="29">
        <v>0</v>
      </c>
      <c r="I34" s="29">
        <v>0</v>
      </c>
      <c r="J34" s="29">
        <v>0</v>
      </c>
      <c r="K34" s="29">
        <v>0</v>
      </c>
      <c r="L34" s="29">
        <v>0</v>
      </c>
      <c r="M34" s="29">
        <v>0</v>
      </c>
      <c r="N34" s="29">
        <v>0</v>
      </c>
    </row>
    <row r="35" spans="1:16" s="27" customFormat="1">
      <c r="A35" s="27" t="s">
        <v>67</v>
      </c>
      <c r="B35" s="27">
        <f t="shared" ref="B35:N35" si="20">SUM(B29:B34)</f>
        <v>467</v>
      </c>
      <c r="C35" s="27">
        <f t="shared" si="20"/>
        <v>356</v>
      </c>
      <c r="D35" s="27">
        <f t="shared" si="20"/>
        <v>516</v>
      </c>
      <c r="E35" s="27">
        <f t="shared" si="20"/>
        <v>325</v>
      </c>
      <c r="F35" s="27">
        <f t="shared" si="20"/>
        <v>541</v>
      </c>
      <c r="G35" s="27">
        <f t="shared" si="20"/>
        <v>369</v>
      </c>
      <c r="H35" s="27">
        <f t="shared" si="20"/>
        <v>491</v>
      </c>
      <c r="I35" s="27">
        <f t="shared" si="20"/>
        <v>338</v>
      </c>
      <c r="J35" s="27">
        <f t="shared" si="20"/>
        <v>329</v>
      </c>
      <c r="K35" s="27">
        <f t="shared" si="20"/>
        <v>605</v>
      </c>
      <c r="L35" s="27">
        <f t="shared" si="20"/>
        <v>392</v>
      </c>
      <c r="M35" s="27">
        <f t="shared" si="20"/>
        <v>533</v>
      </c>
      <c r="N35" s="27">
        <f t="shared" si="20"/>
        <v>259</v>
      </c>
    </row>
    <row r="36" spans="1:16" s="33" customFormat="1">
      <c r="A36" s="20" t="s">
        <v>68</v>
      </c>
      <c r="B36" s="29">
        <v>-190</v>
      </c>
      <c r="C36" s="29">
        <v>-177</v>
      </c>
      <c r="D36" s="29">
        <v>-214</v>
      </c>
      <c r="E36" s="29">
        <f>-581-F36</f>
        <v>-264</v>
      </c>
      <c r="F36" s="29">
        <v>-317</v>
      </c>
      <c r="G36" s="29">
        <v>-175</v>
      </c>
      <c r="H36" s="29">
        <v>-571</v>
      </c>
      <c r="I36" s="29">
        <v>-302</v>
      </c>
      <c r="J36" s="29">
        <v>-283</v>
      </c>
      <c r="K36" s="29">
        <v>-226</v>
      </c>
      <c r="L36" s="29">
        <v>-233</v>
      </c>
      <c r="M36" s="29">
        <v>-151</v>
      </c>
      <c r="N36" s="29">
        <v>-194</v>
      </c>
    </row>
    <row r="37" spans="1:16" s="27" customFormat="1">
      <c r="A37" s="27" t="s">
        <v>69</v>
      </c>
      <c r="B37" s="27">
        <f t="shared" ref="B37:J37" si="21">+B35+B36</f>
        <v>277</v>
      </c>
      <c r="C37" s="27">
        <f t="shared" si="21"/>
        <v>179</v>
      </c>
      <c r="D37" s="27">
        <f t="shared" si="21"/>
        <v>302</v>
      </c>
      <c r="E37" s="27">
        <f t="shared" si="21"/>
        <v>61</v>
      </c>
      <c r="F37" s="27">
        <f t="shared" si="21"/>
        <v>224</v>
      </c>
      <c r="G37" s="27">
        <f t="shared" si="21"/>
        <v>194</v>
      </c>
      <c r="H37" s="27">
        <f t="shared" si="21"/>
        <v>-80</v>
      </c>
      <c r="I37" s="27">
        <f t="shared" si="21"/>
        <v>36</v>
      </c>
      <c r="J37" s="27">
        <f t="shared" si="21"/>
        <v>46</v>
      </c>
      <c r="K37" s="27">
        <f t="shared" ref="K37:N37" si="22">+K35+K36</f>
        <v>379</v>
      </c>
      <c r="L37" s="27">
        <f t="shared" si="22"/>
        <v>159</v>
      </c>
      <c r="M37" s="27">
        <f t="shared" si="22"/>
        <v>382</v>
      </c>
      <c r="N37" s="27">
        <f t="shared" si="22"/>
        <v>65</v>
      </c>
    </row>
    <row r="39" spans="1:16" s="35" customFormat="1">
      <c r="A39" s="34" t="s">
        <v>70</v>
      </c>
      <c r="B39" s="20">
        <v>0</v>
      </c>
      <c r="C39" s="20">
        <v>0</v>
      </c>
      <c r="D39" s="20">
        <v>0</v>
      </c>
      <c r="E39" s="20">
        <v>0</v>
      </c>
      <c r="F39" s="20">
        <v>0</v>
      </c>
      <c r="G39" s="20">
        <v>0</v>
      </c>
      <c r="H39" s="20">
        <v>0</v>
      </c>
      <c r="I39" s="20">
        <v>0</v>
      </c>
      <c r="J39" s="20"/>
      <c r="K39" s="20"/>
      <c r="L39" s="20"/>
      <c r="M39" s="20"/>
      <c r="N39" s="20"/>
    </row>
    <row r="40" spans="1:16" s="35" customFormat="1">
      <c r="A40" s="34" t="s">
        <v>71</v>
      </c>
      <c r="B40" s="20">
        <v>13650</v>
      </c>
      <c r="C40" s="20">
        <v>13650</v>
      </c>
      <c r="D40" s="20">
        <f>1000+1500+2000+2000+1500+1500+1350+2000+800</f>
        <v>13650</v>
      </c>
      <c r="E40" s="20">
        <f>1000+1500+2000+2000+1500+1500+1350+2000+800</f>
        <v>13650</v>
      </c>
      <c r="F40" s="20">
        <v>13650</v>
      </c>
      <c r="G40" s="20">
        <v>13650</v>
      </c>
      <c r="H40" s="20">
        <v>13650</v>
      </c>
      <c r="I40" s="20">
        <v>14299</v>
      </c>
      <c r="J40" s="20"/>
      <c r="K40" s="20"/>
      <c r="L40" s="20"/>
      <c r="M40" s="20"/>
      <c r="N40" s="20"/>
    </row>
    <row r="41" spans="1:16" s="35" customFormat="1">
      <c r="A41" s="34" t="s">
        <v>72</v>
      </c>
      <c r="B41" s="20">
        <f>B40+1500+1100+1500+2590</f>
        <v>20340</v>
      </c>
      <c r="C41" s="20">
        <f>C40+1500+1100+1500+2590</f>
        <v>20340</v>
      </c>
      <c r="D41" s="20">
        <f>D40+1500+1100+1500+2590</f>
        <v>20340</v>
      </c>
      <c r="E41" s="20">
        <f>E40+1500+1100+1500+2590</f>
        <v>20340</v>
      </c>
      <c r="F41" s="20">
        <v>20340</v>
      </c>
      <c r="G41" s="20">
        <v>20340</v>
      </c>
      <c r="H41" s="20">
        <v>20343.5</v>
      </c>
      <c r="I41" s="20">
        <v>19499</v>
      </c>
      <c r="J41" s="20"/>
      <c r="K41" s="20"/>
      <c r="L41" s="20"/>
      <c r="M41" s="20"/>
      <c r="N41" s="20"/>
    </row>
    <row r="42" spans="1:16" s="35" customFormat="1">
      <c r="A42" s="34" t="s">
        <v>73</v>
      </c>
      <c r="B42" s="36">
        <v>19760</v>
      </c>
      <c r="C42" s="36">
        <v>20207.881000000001</v>
      </c>
      <c r="D42" s="36">
        <v>17269.82</v>
      </c>
      <c r="E42" s="36">
        <v>21332.151000000002</v>
      </c>
      <c r="F42" s="36">
        <v>20709.226999999999</v>
      </c>
      <c r="G42" s="36">
        <v>17148.599999999999</v>
      </c>
      <c r="H42" s="36">
        <v>22012.232</v>
      </c>
      <c r="I42" s="36">
        <v>20415.12</v>
      </c>
      <c r="J42" s="36"/>
      <c r="K42" s="36"/>
      <c r="L42" s="36"/>
      <c r="M42" s="36"/>
      <c r="N42" s="36"/>
      <c r="P42" s="33"/>
    </row>
    <row r="43" spans="1:16">
      <c r="B43" s="33"/>
      <c r="C43" s="33"/>
      <c r="D43" s="33"/>
      <c r="E43" s="33"/>
      <c r="F43" s="33"/>
      <c r="G43" s="33"/>
      <c r="H43" s="33"/>
      <c r="I43" s="33"/>
      <c r="J43" s="33"/>
      <c r="K43" s="35"/>
      <c r="L43" s="35"/>
    </row>
    <row r="44" spans="1:16">
      <c r="A44" s="19" t="s">
        <v>74</v>
      </c>
      <c r="B44" s="28">
        <v>1667</v>
      </c>
      <c r="C44" s="28">
        <v>1210</v>
      </c>
      <c r="D44" s="28">
        <v>1254</v>
      </c>
      <c r="E44" s="28">
        <v>1341</v>
      </c>
      <c r="F44" s="28">
        <v>1734</v>
      </c>
      <c r="G44" s="28">
        <v>1781</v>
      </c>
      <c r="H44" s="28">
        <v>1707</v>
      </c>
      <c r="I44" s="28">
        <v>1016</v>
      </c>
      <c r="J44" s="28"/>
      <c r="K44" s="28"/>
      <c r="L44" s="28"/>
      <c r="M44" s="28"/>
      <c r="N44" s="28"/>
    </row>
    <row r="46" spans="1:16">
      <c r="A46" s="14" t="s">
        <v>75</v>
      </c>
      <c r="B46" s="58">
        <f t="shared" ref="B46:I46" si="23">SUM(B12:E12)</f>
        <v>6412</v>
      </c>
      <c r="C46" s="58">
        <f t="shared" si="23"/>
        <v>6167</v>
      </c>
      <c r="D46" s="58">
        <f t="shared" si="23"/>
        <v>6078</v>
      </c>
      <c r="E46" s="58">
        <f t="shared" si="23"/>
        <v>6572</v>
      </c>
      <c r="F46" s="58">
        <f t="shared" si="23"/>
        <v>6807</v>
      </c>
      <c r="G46" s="58">
        <f t="shared" si="23"/>
        <v>6838</v>
      </c>
      <c r="H46" s="58">
        <f t="shared" si="23"/>
        <v>6816</v>
      </c>
      <c r="I46" s="58">
        <f t="shared" si="23"/>
        <v>6869</v>
      </c>
      <c r="J46" s="51"/>
      <c r="K46" s="33"/>
      <c r="L46" s="33"/>
      <c r="M46" s="33"/>
      <c r="N46" s="33"/>
    </row>
    <row r="47" spans="1:16">
      <c r="A47" s="14" t="s">
        <v>76</v>
      </c>
      <c r="B47" s="58">
        <f t="shared" ref="B47:C47" si="24">B27</f>
        <v>2749</v>
      </c>
      <c r="C47" s="58">
        <f t="shared" si="24"/>
        <v>2762</v>
      </c>
      <c r="D47" s="58">
        <f t="shared" ref="D47:I47" si="25">D27</f>
        <v>2756</v>
      </c>
      <c r="E47" s="58">
        <f t="shared" si="25"/>
        <v>2947</v>
      </c>
      <c r="F47" s="58">
        <f t="shared" si="25"/>
        <v>2692</v>
      </c>
      <c r="G47" s="58">
        <f t="shared" si="25"/>
        <v>2507</v>
      </c>
      <c r="H47" s="58">
        <f t="shared" si="25"/>
        <v>2422</v>
      </c>
      <c r="I47" s="58">
        <f t="shared" si="25"/>
        <v>2483</v>
      </c>
      <c r="J47" s="51"/>
      <c r="K47" s="33"/>
      <c r="L47" s="33"/>
      <c r="M47" s="33"/>
      <c r="N47" s="33"/>
    </row>
    <row r="48" spans="1:16">
      <c r="A48" s="14" t="s">
        <v>77</v>
      </c>
      <c r="B48" s="58">
        <f t="shared" ref="B48:I48" si="26">SUM(B37:E37)</f>
        <v>819</v>
      </c>
      <c r="C48" s="58">
        <f t="shared" si="26"/>
        <v>766</v>
      </c>
      <c r="D48" s="58">
        <f t="shared" si="26"/>
        <v>781</v>
      </c>
      <c r="E48" s="58">
        <f t="shared" si="26"/>
        <v>399</v>
      </c>
      <c r="F48" s="58">
        <f t="shared" si="26"/>
        <v>374</v>
      </c>
      <c r="G48" s="58">
        <f t="shared" si="26"/>
        <v>196</v>
      </c>
      <c r="H48" s="58">
        <f t="shared" si="26"/>
        <v>381</v>
      </c>
      <c r="I48" s="58">
        <f t="shared" si="26"/>
        <v>620</v>
      </c>
      <c r="J48" s="51"/>
      <c r="K48" s="33"/>
      <c r="L48" s="33"/>
      <c r="M48" s="33"/>
      <c r="N48" s="33"/>
    </row>
    <row r="50" spans="1:14" s="37" customFormat="1">
      <c r="A50" s="37" t="s">
        <v>78</v>
      </c>
      <c r="B50" s="37">
        <f t="shared" ref="B50:C50" si="27">+SUM(B39:B40)/B47</f>
        <v>4.9654419789014188</v>
      </c>
      <c r="C50" s="37">
        <f t="shared" si="27"/>
        <v>4.9420709630702389</v>
      </c>
      <c r="D50" s="37">
        <f t="shared" ref="D50:I50" si="28">+SUM(D39:D40)/D47</f>
        <v>4.9528301886792452</v>
      </c>
      <c r="E50" s="37">
        <f t="shared" si="28"/>
        <v>4.6318289786223277</v>
      </c>
      <c r="F50" s="37">
        <f t="shared" si="28"/>
        <v>5.0705794947994054</v>
      </c>
      <c r="G50" s="37">
        <f t="shared" si="28"/>
        <v>5.4447546868767454</v>
      </c>
      <c r="H50" s="37">
        <f t="shared" si="28"/>
        <v>5.6358381502890174</v>
      </c>
      <c r="I50" s="37">
        <f t="shared" si="28"/>
        <v>5.7587595650422871</v>
      </c>
    </row>
    <row r="51" spans="1:14" s="37" customFormat="1">
      <c r="A51" s="37" t="s">
        <v>79</v>
      </c>
      <c r="B51" s="37">
        <f t="shared" ref="B51:C51" si="29">+B41/B47</f>
        <v>7.3990542015278287</v>
      </c>
      <c r="C51" s="37">
        <f t="shared" si="29"/>
        <v>7.3642288196958727</v>
      </c>
      <c r="D51" s="37">
        <f t="shared" ref="D51:I51" si="30">+D41/D47</f>
        <v>7.3802612481857768</v>
      </c>
      <c r="E51" s="37">
        <f t="shared" si="30"/>
        <v>6.9019341703427211</v>
      </c>
      <c r="F51" s="37">
        <f t="shared" si="30"/>
        <v>7.5557206537890043</v>
      </c>
      <c r="G51" s="37">
        <f t="shared" si="30"/>
        <v>8.1132828081372157</v>
      </c>
      <c r="H51" s="37">
        <f t="shared" si="30"/>
        <v>8.3994632535094969</v>
      </c>
      <c r="I51" s="37">
        <f t="shared" si="30"/>
        <v>7.8530004027386227</v>
      </c>
    </row>
    <row r="52" spans="1:14" s="37" customFormat="1">
      <c r="A52" s="37" t="s">
        <v>80</v>
      </c>
      <c r="B52" s="37">
        <f t="shared" ref="B52:C52" si="31">+(B41-B44)/B47</f>
        <v>6.792651873408512</v>
      </c>
      <c r="C52" s="37">
        <f t="shared" si="31"/>
        <v>6.9261404779145543</v>
      </c>
      <c r="D52" s="37">
        <f t="shared" ref="D52:I52" si="32">+(D41-D44)/D47</f>
        <v>6.9252539912917275</v>
      </c>
      <c r="E52" s="37">
        <f t="shared" si="32"/>
        <v>6.4468951476077363</v>
      </c>
      <c r="F52" s="37">
        <f t="shared" si="32"/>
        <v>6.9115898959881132</v>
      </c>
      <c r="G52" s="37">
        <f t="shared" si="32"/>
        <v>7.4028719585161546</v>
      </c>
      <c r="H52" s="37">
        <f t="shared" si="32"/>
        <v>7.6946738232865401</v>
      </c>
      <c r="I52" s="37">
        <f t="shared" si="32"/>
        <v>7.4438179621425693</v>
      </c>
    </row>
    <row r="53" spans="1:14" s="38" customFormat="1">
      <c r="A53" s="38" t="s">
        <v>81</v>
      </c>
      <c r="B53" s="38">
        <f t="shared" ref="B53:C53" si="33">+B48/B41</f>
        <v>4.026548672566372E-2</v>
      </c>
      <c r="C53" s="38">
        <f t="shared" si="33"/>
        <v>3.7659783677482794E-2</v>
      </c>
      <c r="D53" s="38">
        <f t="shared" ref="D53:I53" si="34">+D48/D41</f>
        <v>3.8397246804326449E-2</v>
      </c>
      <c r="E53" s="38">
        <f t="shared" si="34"/>
        <v>1.9616519174041298E-2</v>
      </c>
      <c r="F53" s="38">
        <f t="shared" si="34"/>
        <v>1.8387413962635202E-2</v>
      </c>
      <c r="G53" s="38">
        <f t="shared" si="34"/>
        <v>9.6361848574237959E-3</v>
      </c>
      <c r="H53" s="38">
        <f t="shared" si="34"/>
        <v>1.8728340747658959E-2</v>
      </c>
      <c r="I53" s="38">
        <f t="shared" si="34"/>
        <v>3.1796502384737677E-2</v>
      </c>
    </row>
    <row r="54" spans="1:14" s="38" customFormat="1">
      <c r="A54" s="39" t="s">
        <v>82</v>
      </c>
      <c r="B54" s="40"/>
      <c r="C54" s="40"/>
      <c r="D54" s="40"/>
      <c r="E54" s="40"/>
      <c r="F54" s="40"/>
      <c r="G54" s="40"/>
      <c r="H54" s="40"/>
      <c r="I54" s="40"/>
      <c r="J54" s="40"/>
      <c r="K54" s="40"/>
      <c r="L54" s="40"/>
      <c r="M54" s="40"/>
      <c r="N54" s="40"/>
    </row>
    <row r="55" spans="1:14" s="38" customFormat="1">
      <c r="A55" s="38" t="s">
        <v>83</v>
      </c>
      <c r="B55" s="41">
        <f t="shared" ref="B55:C55" si="35">IF(B42=0,IF(B54="","","*"&amp;TEXT(B54,"0.0x")),(B41+B42-B44)/B47)</f>
        <v>13.980720261913422</v>
      </c>
      <c r="C55" s="41">
        <f t="shared" si="35"/>
        <v>14.242534757422158</v>
      </c>
      <c r="D55" s="41">
        <f t="shared" ref="D55:I55" si="36">IF(D42=0,IF(D54="","","*"&amp;TEXT(D54,"0.0x")),(D41+D42-D44)/D47)</f>
        <v>13.191516690856313</v>
      </c>
      <c r="E55" s="41">
        <f t="shared" si="36"/>
        <v>13.685494061757719</v>
      </c>
      <c r="F55" s="41">
        <f t="shared" si="36"/>
        <v>14.604467682020802</v>
      </c>
      <c r="G55" s="41">
        <f t="shared" si="36"/>
        <v>14.24315915436777</v>
      </c>
      <c r="H55" s="41">
        <f t="shared" si="36"/>
        <v>16.783126341866229</v>
      </c>
      <c r="I55" s="41">
        <f t="shared" si="36"/>
        <v>15.665775271848569</v>
      </c>
      <c r="J55" s="41"/>
      <c r="K55" s="41"/>
      <c r="L55" s="41"/>
      <c r="M55" s="41"/>
      <c r="N55" s="41"/>
    </row>
    <row r="56" spans="1:14">
      <c r="N56" s="42"/>
    </row>
    <row r="57" spans="1:14" ht="80.25" customHeight="1">
      <c r="A57" s="43" t="s">
        <v>84</v>
      </c>
      <c r="B57" s="44" t="s">
        <v>90</v>
      </c>
      <c r="C57" s="44" t="s">
        <v>90</v>
      </c>
      <c r="D57" s="44" t="s">
        <v>90</v>
      </c>
      <c r="E57" s="44" t="s">
        <v>289</v>
      </c>
      <c r="F57" s="44" t="s">
        <v>90</v>
      </c>
      <c r="G57" s="44" t="s">
        <v>90</v>
      </c>
      <c r="H57" s="44" t="s">
        <v>90</v>
      </c>
      <c r="I57" s="44" t="s">
        <v>90</v>
      </c>
      <c r="J57" s="44"/>
      <c r="K57" s="44"/>
      <c r="L57" s="44"/>
      <c r="M57" s="44"/>
      <c r="N57" s="44"/>
    </row>
    <row r="58" spans="1:14">
      <c r="A58" s="45"/>
      <c r="B58" s="42"/>
      <c r="C58" s="42"/>
      <c r="D58" s="42"/>
      <c r="E58" s="42"/>
      <c r="F58" s="42"/>
      <c r="G58" s="42"/>
      <c r="H58" s="42"/>
      <c r="I58" s="42"/>
      <c r="J58" s="42"/>
    </row>
    <row r="59" spans="1:14">
      <c r="A59" s="45"/>
    </row>
  </sheetData>
  <pageMargins left="0.7" right="0.7" top="0.75" bottom="0.75" header="0.3" footer="0.3"/>
  <pageSetup orientation="portrait" r:id="rId1"/>
  <ignoredErrors>
    <ignoredError sqref="I46:I52 H46:H52 G52 G46:G51 F46:F51 E46:E47 D46:D47 B48:D50 B46:C47" formulaRange="1"/>
  </ignoredErrors>
  <drawing r:id="rId2"/>
  <legacyDrawing r:id="rId3"/>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2:S59"/>
  <sheetViews>
    <sheetView showGridLines="0" zoomScaleNormal="100" workbookViewId="0">
      <pane xSplit="1" ySplit="10" topLeftCell="B11" activePane="bottomRight" state="frozen"/>
      <selection activeCell="B8" sqref="B8"/>
      <selection pane="topRight" activeCell="B8" sqref="B8"/>
      <selection pane="bottomLeft" activeCell="B8" sqref="B8"/>
      <selection pane="bottomRight" activeCell="B11" sqref="B11"/>
    </sheetView>
  </sheetViews>
  <sheetFormatPr defaultColWidth="9.109375" defaultRowHeight="13.8"/>
  <cols>
    <col min="1" max="1" width="22.6640625" style="14" customWidth="1"/>
    <col min="2" max="12" width="10.6640625" style="14" customWidth="1"/>
    <col min="13" max="16384" width="9.109375" style="14"/>
  </cols>
  <sheetData>
    <row r="2" spans="1:12">
      <c r="A2" s="13" t="s">
        <v>44</v>
      </c>
      <c r="B2" s="14" t="s">
        <v>485</v>
      </c>
    </row>
    <row r="3" spans="1:12" s="16" customFormat="1">
      <c r="A3" s="15" t="s">
        <v>45</v>
      </c>
      <c r="B3" s="16" t="s">
        <v>483</v>
      </c>
    </row>
    <row r="4" spans="1:12">
      <c r="A4" s="13" t="s">
        <v>2</v>
      </c>
      <c r="B4" s="14" t="s">
        <v>4</v>
      </c>
    </row>
    <row r="5" spans="1:12">
      <c r="A5" s="13" t="s">
        <v>46</v>
      </c>
    </row>
    <row r="6" spans="1:12">
      <c r="A6" s="13" t="s">
        <v>47</v>
      </c>
      <c r="B6" s="14">
        <v>2</v>
      </c>
    </row>
    <row r="7" spans="1:12">
      <c r="A7" s="13" t="s">
        <v>48</v>
      </c>
      <c r="B7" s="14" t="s">
        <v>482</v>
      </c>
    </row>
    <row r="8" spans="1:12">
      <c r="A8" s="13" t="s">
        <v>347</v>
      </c>
      <c r="B8" s="14" t="s">
        <v>481</v>
      </c>
    </row>
    <row r="9" spans="1:12">
      <c r="A9" s="17"/>
    </row>
    <row r="10" spans="1:12">
      <c r="A10" s="17" t="s">
        <v>49</v>
      </c>
      <c r="B10" s="18">
        <v>44286</v>
      </c>
      <c r="C10" s="18">
        <v>44196</v>
      </c>
      <c r="D10" s="18">
        <v>44104</v>
      </c>
      <c r="E10" s="18">
        <v>44012</v>
      </c>
      <c r="F10" s="18">
        <v>43921</v>
      </c>
      <c r="G10" s="18">
        <v>43830</v>
      </c>
      <c r="H10" s="18">
        <v>43738</v>
      </c>
      <c r="I10" s="18">
        <v>43646</v>
      </c>
      <c r="J10" s="18">
        <f>EOMONTH(I10,-3)</f>
        <v>43555</v>
      </c>
      <c r="K10" s="18">
        <f t="shared" ref="K10:L10" si="0">EOMONTH(J10,-3)</f>
        <v>43465</v>
      </c>
      <c r="L10" s="18">
        <f t="shared" si="0"/>
        <v>43373</v>
      </c>
    </row>
    <row r="12" spans="1:12">
      <c r="A12" s="19" t="s">
        <v>50</v>
      </c>
      <c r="B12" s="20">
        <v>150.22999999999999</v>
      </c>
      <c r="C12" s="20">
        <f>1705.382-D12-E12-F12</f>
        <v>246.29199999999992</v>
      </c>
      <c r="D12" s="20">
        <v>201.36199999999999</v>
      </c>
      <c r="E12" s="20">
        <v>84.308999999999997</v>
      </c>
      <c r="F12" s="20">
        <v>1173.4190000000001</v>
      </c>
      <c r="G12" s="20">
        <f>4797.844+351.702-3863.515</f>
        <v>1286.0310000000004</v>
      </c>
      <c r="H12" s="20">
        <v>1392.9390000000001</v>
      </c>
      <c r="I12" s="20">
        <v>1244.249</v>
      </c>
      <c r="J12" s="20">
        <v>1257.6559999999999</v>
      </c>
      <c r="K12" s="20">
        <f>4733.462-3540.199</f>
        <v>1193.2630000000004</v>
      </c>
      <c r="L12" s="20">
        <v>1260.902</v>
      </c>
    </row>
    <row r="13" spans="1:12" s="21" customFormat="1">
      <c r="A13" s="21" t="s">
        <v>51</v>
      </c>
      <c r="B13" s="21">
        <f t="shared" ref="B13:H13" si="1">+B12/F12-1</f>
        <v>-0.87197241565033468</v>
      </c>
      <c r="C13" s="21">
        <f t="shared" si="1"/>
        <v>-0.8084867316573241</v>
      </c>
      <c r="D13" s="21">
        <f t="shared" si="1"/>
        <v>-0.85544090588317223</v>
      </c>
      <c r="E13" s="21">
        <f t="shared" si="1"/>
        <v>-0.93224105464420703</v>
      </c>
      <c r="F13" s="21">
        <f t="shared" si="1"/>
        <v>-6.6979364786555196E-2</v>
      </c>
      <c r="G13" s="21">
        <f t="shared" si="1"/>
        <v>7.7743129553166312E-2</v>
      </c>
      <c r="H13" s="21">
        <f t="shared" si="1"/>
        <v>0.10471630626329409</v>
      </c>
    </row>
    <row r="14" spans="1:12" s="24" customFormat="1">
      <c r="A14" s="22" t="s">
        <v>52</v>
      </c>
      <c r="B14" s="23" t="s">
        <v>3</v>
      </c>
      <c r="C14" s="23" t="s">
        <v>3</v>
      </c>
      <c r="D14" s="23" t="s">
        <v>3</v>
      </c>
      <c r="E14" s="23" t="s">
        <v>3</v>
      </c>
      <c r="F14" s="23" t="s">
        <v>3</v>
      </c>
      <c r="G14" s="23" t="s">
        <v>3</v>
      </c>
      <c r="H14" s="23" t="s">
        <v>3</v>
      </c>
      <c r="I14" s="23"/>
      <c r="J14" s="23"/>
      <c r="K14" s="23"/>
      <c r="L14" s="23"/>
    </row>
    <row r="16" spans="1:12" s="17" customFormat="1">
      <c r="A16" s="25" t="s">
        <v>53</v>
      </c>
      <c r="B16" s="26">
        <f>-283.846+150.996</f>
        <v>-132.85</v>
      </c>
      <c r="C16" s="26">
        <f>-1802.708+1044.618+727.041-D16-E16-F16</f>
        <v>-16.103000000000179</v>
      </c>
      <c r="D16" s="26">
        <f>-272.695+193.877</f>
        <v>-78.817999999999984</v>
      </c>
      <c r="E16" s="26">
        <f>-1053.635+390.507+727-F16</f>
        <v>-135.476</v>
      </c>
      <c r="F16" s="26">
        <f>-1013.406+1023.004+189.75</f>
        <v>199.34800000000007</v>
      </c>
      <c r="G16" s="26">
        <f>81.815+303.581+41.646+601.501-H16-I16-J16</f>
        <v>265.01100000000008</v>
      </c>
      <c r="H16" s="26">
        <f>187.737+157.209</f>
        <v>344.94600000000003</v>
      </c>
      <c r="I16" s="26">
        <f>101.863+316.723-J16</f>
        <v>200.886</v>
      </c>
      <c r="J16" s="26">
        <f>59.894+157.806</f>
        <v>217.70000000000002</v>
      </c>
      <c r="K16" s="26"/>
      <c r="L16" s="26"/>
    </row>
    <row r="17" spans="1:19" s="21" customFormat="1">
      <c r="A17" s="21" t="s">
        <v>54</v>
      </c>
      <c r="B17" s="21">
        <f t="shared" ref="B17:J17" si="2">B16/B12</f>
        <v>-0.8843107235572123</v>
      </c>
      <c r="C17" s="21">
        <f t="shared" si="2"/>
        <v>-6.538174199730476E-2</v>
      </c>
      <c r="D17" s="21">
        <f t="shared" si="2"/>
        <v>-0.39142439983710919</v>
      </c>
      <c r="E17" s="21">
        <f t="shared" si="2"/>
        <v>-1.6068984331447413</v>
      </c>
      <c r="F17" s="21">
        <f t="shared" si="2"/>
        <v>0.16988645999425614</v>
      </c>
      <c r="G17" s="21">
        <f t="shared" si="2"/>
        <v>0.20606890502639516</v>
      </c>
      <c r="H17" s="21">
        <f t="shared" si="2"/>
        <v>0.24763898490888689</v>
      </c>
      <c r="I17" s="21">
        <f t="shared" si="2"/>
        <v>0.16145160655142177</v>
      </c>
      <c r="J17" s="21">
        <f t="shared" si="2"/>
        <v>0.17309979835503511</v>
      </c>
    </row>
    <row r="18" spans="1:19" s="24" customFormat="1"/>
    <row r="19" spans="1:19" s="24" customFormat="1">
      <c r="A19" s="19" t="s">
        <v>55</v>
      </c>
      <c r="B19" s="20">
        <v>0</v>
      </c>
      <c r="C19" s="20">
        <v>0</v>
      </c>
      <c r="D19" s="20">
        <v>0</v>
      </c>
      <c r="E19" s="20">
        <v>0</v>
      </c>
      <c r="F19" s="20">
        <v>0</v>
      </c>
      <c r="G19" s="20">
        <v>0</v>
      </c>
      <c r="H19" s="20">
        <v>0</v>
      </c>
      <c r="I19" s="20">
        <v>0</v>
      </c>
      <c r="J19" s="20">
        <v>0</v>
      </c>
      <c r="K19" s="20"/>
      <c r="L19" s="20"/>
    </row>
    <row r="20" spans="1:19" s="24" customFormat="1">
      <c r="A20" s="19" t="s">
        <v>56</v>
      </c>
      <c r="B20" s="20">
        <v>0</v>
      </c>
      <c r="C20" s="20">
        <v>0</v>
      </c>
      <c r="D20" s="20">
        <v>0</v>
      </c>
      <c r="E20" s="20">
        <v>0</v>
      </c>
      <c r="F20" s="20">
        <v>0</v>
      </c>
      <c r="G20" s="20">
        <v>0</v>
      </c>
      <c r="H20" s="20">
        <v>0</v>
      </c>
      <c r="I20" s="20">
        <v>0</v>
      </c>
      <c r="J20" s="20">
        <v>0</v>
      </c>
      <c r="K20" s="20"/>
      <c r="L20" s="20"/>
    </row>
    <row r="21" spans="1:19" s="24" customFormat="1">
      <c r="A21" s="19" t="s">
        <v>57</v>
      </c>
      <c r="B21" s="20">
        <v>0</v>
      </c>
      <c r="C21" s="20">
        <v>0</v>
      </c>
      <c r="D21" s="20">
        <v>0</v>
      </c>
      <c r="E21" s="20">
        <v>0</v>
      </c>
      <c r="F21" s="20">
        <v>0</v>
      </c>
      <c r="G21" s="20">
        <v>0</v>
      </c>
      <c r="H21" s="20">
        <v>0</v>
      </c>
      <c r="I21" s="20">
        <v>0</v>
      </c>
      <c r="J21" s="20">
        <v>0</v>
      </c>
      <c r="K21" s="20"/>
      <c r="L21" s="20"/>
    </row>
    <row r="22" spans="1:19" s="17" customFormat="1">
      <c r="A22" s="17" t="s">
        <v>58</v>
      </c>
      <c r="B22" s="27">
        <f t="shared" ref="B22:J22" si="3">B16+B19+B20+B21</f>
        <v>-132.85</v>
      </c>
      <c r="C22" s="27">
        <f t="shared" si="3"/>
        <v>-16.103000000000179</v>
      </c>
      <c r="D22" s="27">
        <f t="shared" si="3"/>
        <v>-78.817999999999984</v>
      </c>
      <c r="E22" s="27">
        <f t="shared" si="3"/>
        <v>-135.476</v>
      </c>
      <c r="F22" s="27">
        <f t="shared" si="3"/>
        <v>199.34800000000007</v>
      </c>
      <c r="G22" s="27">
        <f t="shared" si="3"/>
        <v>265.01100000000008</v>
      </c>
      <c r="H22" s="27">
        <f t="shared" si="3"/>
        <v>344.94600000000003</v>
      </c>
      <c r="I22" s="27">
        <f t="shared" si="3"/>
        <v>200.886</v>
      </c>
      <c r="J22" s="27">
        <f t="shared" si="3"/>
        <v>217.70000000000002</v>
      </c>
      <c r="K22" s="27"/>
      <c r="L22" s="27"/>
    </row>
    <row r="23" spans="1:19" s="17" customFormat="1">
      <c r="B23" s="27"/>
      <c r="C23" s="27"/>
      <c r="D23" s="27"/>
      <c r="E23" s="27"/>
      <c r="F23" s="27"/>
      <c r="G23" s="27"/>
      <c r="H23" s="27"/>
      <c r="I23" s="27"/>
      <c r="J23" s="27"/>
      <c r="K23" s="27"/>
      <c r="L23" s="27"/>
    </row>
    <row r="24" spans="1:19" s="17" customFormat="1">
      <c r="A24" s="17" t="s">
        <v>59</v>
      </c>
      <c r="B24" s="65">
        <f t="shared" ref="B24:G24" si="4">SUM(B22:E22)</f>
        <v>-363.24700000000018</v>
      </c>
      <c r="C24" s="65">
        <f t="shared" si="4"/>
        <v>-31.049000000000092</v>
      </c>
      <c r="D24" s="65">
        <f t="shared" si="4"/>
        <v>250.06500000000017</v>
      </c>
      <c r="E24" s="65">
        <f t="shared" si="4"/>
        <v>673.82900000000018</v>
      </c>
      <c r="F24" s="65">
        <f t="shared" si="4"/>
        <v>1010.1910000000001</v>
      </c>
      <c r="G24" s="65">
        <f t="shared" si="4"/>
        <v>1028.5430000000001</v>
      </c>
      <c r="H24" s="46">
        <v>972.06299999999999</v>
      </c>
      <c r="I24" s="27"/>
      <c r="J24" s="27"/>
      <c r="K24" s="27"/>
      <c r="L24" s="27"/>
    </row>
    <row r="25" spans="1:19" s="24" customFormat="1">
      <c r="A25" s="19" t="s">
        <v>60</v>
      </c>
      <c r="B25" s="28">
        <v>0</v>
      </c>
      <c r="C25" s="28">
        <v>0</v>
      </c>
      <c r="D25" s="28">
        <v>0</v>
      </c>
      <c r="E25" s="28">
        <v>0</v>
      </c>
      <c r="F25" s="28">
        <v>0</v>
      </c>
      <c r="G25" s="28">
        <v>0</v>
      </c>
      <c r="H25" s="28">
        <v>0</v>
      </c>
      <c r="I25" s="28"/>
      <c r="J25" s="28"/>
      <c r="K25" s="28"/>
      <c r="L25" s="28"/>
    </row>
    <row r="26" spans="1:19" s="24" customFormat="1">
      <c r="A26" s="19" t="s">
        <v>61</v>
      </c>
      <c r="B26" s="29">
        <v>0</v>
      </c>
      <c r="C26" s="29">
        <v>0</v>
      </c>
      <c r="D26" s="29">
        <v>0</v>
      </c>
      <c r="E26" s="29">
        <v>0</v>
      </c>
      <c r="F26" s="29">
        <v>0</v>
      </c>
      <c r="G26" s="29">
        <v>0</v>
      </c>
      <c r="H26" s="29">
        <v>0</v>
      </c>
      <c r="I26" s="29"/>
      <c r="J26" s="29"/>
      <c r="K26" s="29"/>
      <c r="L26" s="29"/>
    </row>
    <row r="27" spans="1:19" s="32" customFormat="1">
      <c r="A27" s="17" t="s">
        <v>62</v>
      </c>
      <c r="B27" s="27">
        <f t="shared" ref="B27:H27" si="5">SUM(B24:B26)</f>
        <v>-363.24700000000018</v>
      </c>
      <c r="C27" s="27">
        <f t="shared" si="5"/>
        <v>-31.049000000000092</v>
      </c>
      <c r="D27" s="27">
        <f t="shared" si="5"/>
        <v>250.06500000000017</v>
      </c>
      <c r="E27" s="27">
        <f t="shared" si="5"/>
        <v>673.82900000000018</v>
      </c>
      <c r="F27" s="27">
        <f t="shared" si="5"/>
        <v>1010.1910000000001</v>
      </c>
      <c r="G27" s="27">
        <f t="shared" si="5"/>
        <v>1028.5430000000001</v>
      </c>
      <c r="H27" s="27">
        <f t="shared" si="5"/>
        <v>972.06299999999999</v>
      </c>
      <c r="I27" s="27"/>
      <c r="J27" s="27"/>
      <c r="K27" s="27"/>
      <c r="L27" s="27"/>
    </row>
    <row r="28" spans="1:19" s="24" customFormat="1"/>
    <row r="29" spans="1:19" s="17" customFormat="1">
      <c r="A29" s="17" t="s">
        <v>58</v>
      </c>
      <c r="B29" s="27">
        <f t="shared" ref="B29" si="6">B22</f>
        <v>-132.85</v>
      </c>
      <c r="C29" s="27">
        <f t="shared" ref="C29" si="7">C22</f>
        <v>-16.103000000000179</v>
      </c>
      <c r="D29" s="27">
        <f t="shared" ref="D29:J29" si="8">D22</f>
        <v>-78.817999999999984</v>
      </c>
      <c r="E29" s="27">
        <f t="shared" si="8"/>
        <v>-135.476</v>
      </c>
      <c r="F29" s="27">
        <f t="shared" si="8"/>
        <v>199.34800000000007</v>
      </c>
      <c r="G29" s="27"/>
      <c r="H29" s="27">
        <f t="shared" si="8"/>
        <v>344.94600000000003</v>
      </c>
      <c r="I29" s="27">
        <f t="shared" si="8"/>
        <v>200.886</v>
      </c>
      <c r="J29" s="27">
        <f t="shared" si="8"/>
        <v>217.70000000000002</v>
      </c>
      <c r="K29" s="27"/>
      <c r="L29" s="27">
        <f t="shared" ref="L29" si="9">L22</f>
        <v>0</v>
      </c>
    </row>
    <row r="30" spans="1:19" s="33" customFormat="1">
      <c r="A30" s="20" t="s">
        <v>63</v>
      </c>
      <c r="B30" s="20">
        <v>1.1870000000000001</v>
      </c>
      <c r="C30" s="20">
        <v>11.805</v>
      </c>
      <c r="D30" s="20">
        <v>1.4810000000000001</v>
      </c>
      <c r="E30" s="20">
        <v>2.0249999999999999</v>
      </c>
      <c r="F30" s="20">
        <v>6.5270000000000001</v>
      </c>
      <c r="G30" s="20">
        <f>8.623+28.584</f>
        <v>37.207000000000001</v>
      </c>
      <c r="H30" s="20">
        <v>8.58</v>
      </c>
      <c r="I30" s="20">
        <v>9.9390000000000001</v>
      </c>
      <c r="J30" s="20">
        <v>9.4779999999999998</v>
      </c>
      <c r="K30" s="20"/>
      <c r="L30" s="20">
        <v>-17.526</v>
      </c>
    </row>
    <row r="31" spans="1:19" s="33" customFormat="1">
      <c r="A31" s="20" t="s">
        <v>64</v>
      </c>
      <c r="B31" s="20">
        <v>-0.442</v>
      </c>
      <c r="C31" s="20">
        <v>-1.2E-2</v>
      </c>
      <c r="D31" s="20">
        <v>-3.5979999999999999</v>
      </c>
      <c r="E31" s="20">
        <v>-0.39400000000000002</v>
      </c>
      <c r="F31" s="20">
        <v>10.804</v>
      </c>
      <c r="G31" s="20">
        <f>1.603+5.389</f>
        <v>6.992</v>
      </c>
      <c r="H31" s="20">
        <v>9.19</v>
      </c>
      <c r="I31" s="20">
        <v>-3.2829999999999999</v>
      </c>
      <c r="J31" s="20">
        <v>-3.7429999999999999</v>
      </c>
      <c r="K31" s="20"/>
      <c r="L31" s="20">
        <v>-35.771000000000001</v>
      </c>
    </row>
    <row r="32" spans="1:19" s="33" customFormat="1">
      <c r="A32" s="20" t="s">
        <v>65</v>
      </c>
      <c r="B32" s="20">
        <f>-7.486+11.795-47.037</f>
        <v>-42.728000000000002</v>
      </c>
      <c r="C32" s="20">
        <f>21.642-14.099+394.475-D32-E32-F32</f>
        <v>375.10200000000003</v>
      </c>
      <c r="D32" s="20">
        <v>135.19499999999999</v>
      </c>
      <c r="E32" s="20">
        <v>-64.805999999999997</v>
      </c>
      <c r="F32" s="20">
        <f>-40.199-3.266-0.008</f>
        <v>-43.472999999999999</v>
      </c>
      <c r="G32" s="20">
        <f>84.898-0.661+323.179+5.206+1.25-H32-I32-J32</f>
        <v>79.158999999999935</v>
      </c>
      <c r="H32" s="20">
        <v>151.21899999999999</v>
      </c>
      <c r="I32" s="20">
        <v>-6.8710000000000004</v>
      </c>
      <c r="J32" s="20">
        <f>193.06-2.692-0.003</f>
        <v>190.36500000000001</v>
      </c>
      <c r="K32" s="20"/>
      <c r="L32" s="20">
        <f>106.136-0.901+1.585</f>
        <v>106.82</v>
      </c>
      <c r="S32" s="33" t="s">
        <v>536</v>
      </c>
    </row>
    <row r="33" spans="1:19" s="33" customFormat="1">
      <c r="A33" s="20" t="s">
        <v>66</v>
      </c>
      <c r="B33" s="20">
        <v>0</v>
      </c>
      <c r="C33" s="20">
        <v>0</v>
      </c>
      <c r="D33" s="20">
        <v>0</v>
      </c>
      <c r="E33" s="20">
        <v>0</v>
      </c>
      <c r="F33" s="20">
        <v>0</v>
      </c>
      <c r="G33" s="20">
        <v>0</v>
      </c>
      <c r="H33" s="20">
        <v>0</v>
      </c>
      <c r="I33" s="20">
        <v>0</v>
      </c>
      <c r="J33" s="20">
        <v>0</v>
      </c>
      <c r="K33" s="20"/>
      <c r="L33" s="20">
        <v>0</v>
      </c>
    </row>
    <row r="34" spans="1:19" s="33" customFormat="1">
      <c r="A34" s="20" t="s">
        <v>57</v>
      </c>
      <c r="B34" s="29">
        <v>0</v>
      </c>
      <c r="C34" s="29">
        <v>0</v>
      </c>
      <c r="D34" s="29">
        <v>0</v>
      </c>
      <c r="E34" s="29">
        <v>0</v>
      </c>
      <c r="F34" s="29">
        <v>0</v>
      </c>
      <c r="G34" s="29">
        <v>0</v>
      </c>
      <c r="H34" s="29">
        <v>0</v>
      </c>
      <c r="I34" s="29">
        <v>0</v>
      </c>
      <c r="J34" s="29">
        <v>0</v>
      </c>
      <c r="K34" s="29"/>
      <c r="L34" s="29">
        <v>0</v>
      </c>
    </row>
    <row r="35" spans="1:19" s="27" customFormat="1">
      <c r="A35" s="27" t="s">
        <v>67</v>
      </c>
      <c r="B35" s="27">
        <v>-211.86600000000001</v>
      </c>
      <c r="C35" s="27">
        <f>296.692-D35-E35-F35</f>
        <v>290.50400000000002</v>
      </c>
      <c r="D35" s="27">
        <v>44.735999999999997</v>
      </c>
      <c r="E35" s="27">
        <v>-210.745</v>
      </c>
      <c r="F35" s="27">
        <v>172.197</v>
      </c>
      <c r="G35" s="27">
        <f>187.524+1088.64-H35-I35-J35</f>
        <v>209.21100000000024</v>
      </c>
      <c r="H35" s="27">
        <v>453.399</v>
      </c>
      <c r="I35" s="27">
        <v>200.44900000000001</v>
      </c>
      <c r="J35" s="27">
        <v>413.10500000000002</v>
      </c>
      <c r="L35" s="27">
        <f>304.319+L30</f>
        <v>286.79300000000001</v>
      </c>
    </row>
    <row r="36" spans="1:19" s="33" customFormat="1">
      <c r="A36" s="20" t="s">
        <v>68</v>
      </c>
      <c r="B36" s="29">
        <f>4.841+1.668</f>
        <v>6.5090000000000003</v>
      </c>
      <c r="C36" s="29">
        <f>-476.516+59.245-D36-E36-F36</f>
        <v>-3.9390000000000214</v>
      </c>
      <c r="D36" s="29">
        <f>-7.157+54.425</f>
        <v>47.268000000000001</v>
      </c>
      <c r="E36" s="29">
        <f>-152.382+1.044</f>
        <v>-151.33799999999999</v>
      </c>
      <c r="F36" s="29">
        <v>-309.262</v>
      </c>
      <c r="G36" s="29">
        <f>-2.4-837.546+7.295-H36-I36-J36</f>
        <v>-75.653000000000134</v>
      </c>
      <c r="H36" s="29">
        <v>-132.703</v>
      </c>
      <c r="I36" s="29">
        <f>-114.937+6.257</f>
        <v>-108.67999999999999</v>
      </c>
      <c r="J36" s="29">
        <f>-516.651+1.036</f>
        <v>-515.61500000000001</v>
      </c>
      <c r="K36" s="29"/>
      <c r="L36" s="29">
        <v>-117.03700000000001</v>
      </c>
    </row>
    <row r="37" spans="1:19" s="27" customFormat="1">
      <c r="A37" s="27" t="s">
        <v>69</v>
      </c>
      <c r="B37" s="27">
        <f t="shared" ref="B37:F37" si="10">+B35+B36</f>
        <v>-205.35700000000003</v>
      </c>
      <c r="C37" s="27">
        <f t="shared" si="10"/>
        <v>286.565</v>
      </c>
      <c r="D37" s="27">
        <f t="shared" si="10"/>
        <v>92.003999999999991</v>
      </c>
      <c r="E37" s="27">
        <f t="shared" si="10"/>
        <v>-362.08299999999997</v>
      </c>
      <c r="F37" s="27">
        <f t="shared" si="10"/>
        <v>-137.065</v>
      </c>
      <c r="G37" s="27">
        <f t="shared" ref="G37:H37" si="11">+G35+G36</f>
        <v>133.55800000000011</v>
      </c>
      <c r="H37" s="27">
        <f t="shared" si="11"/>
        <v>320.69600000000003</v>
      </c>
      <c r="I37" s="27">
        <f t="shared" ref="I37:L37" si="12">+I35+I36</f>
        <v>91.76900000000002</v>
      </c>
      <c r="J37" s="27">
        <f t="shared" si="12"/>
        <v>-102.50999999999999</v>
      </c>
      <c r="L37" s="27">
        <f t="shared" si="12"/>
        <v>169.756</v>
      </c>
    </row>
    <row r="39" spans="1:19" s="35" customFormat="1">
      <c r="A39" s="34" t="s">
        <v>70</v>
      </c>
      <c r="B39" s="20">
        <v>0</v>
      </c>
      <c r="C39" s="20">
        <v>0</v>
      </c>
      <c r="D39" s="20">
        <v>0</v>
      </c>
      <c r="E39" s="20">
        <v>475.15600000000001</v>
      </c>
      <c r="F39" s="20">
        <v>492.12599999999998</v>
      </c>
      <c r="G39" s="20">
        <v>0</v>
      </c>
      <c r="H39" s="20">
        <v>0</v>
      </c>
      <c r="I39" s="20">
        <v>0</v>
      </c>
      <c r="J39" s="20"/>
      <c r="K39" s="20"/>
      <c r="L39" s="20"/>
    </row>
    <row r="40" spans="1:19" s="35" customFormat="1">
      <c r="A40" s="34" t="s">
        <v>71</v>
      </c>
      <c r="B40" s="20">
        <f>452.039+2329.617+20.294+1529.166</f>
        <v>4331.116</v>
      </c>
      <c r="C40" s="20">
        <f>467.038+2364.891+19.382+1431.579</f>
        <v>4282.8900000000003</v>
      </c>
      <c r="D40" s="20">
        <f>505.703+2481.236+19.093+1200.402</f>
        <v>4206.4339999999993</v>
      </c>
      <c r="E40" s="20">
        <f>521.723+2533.281+17.876+1267.618</f>
        <v>4340.4979999999996</v>
      </c>
      <c r="F40" s="20">
        <f>537.644+2630.451+1244.261+17.582</f>
        <v>4429.9380000000001</v>
      </c>
      <c r="G40" s="20">
        <f>553.411+2424.107+872.43</f>
        <v>3849.9479999999999</v>
      </c>
      <c r="H40" s="20">
        <f>I40-449.236-41.596</f>
        <v>3528.1680000000001</v>
      </c>
      <c r="I40" s="20">
        <f>2558+542+919</f>
        <v>4019</v>
      </c>
      <c r="J40" s="20"/>
      <c r="K40" s="20"/>
      <c r="L40" s="20"/>
      <c r="S40" s="35" t="s">
        <v>535</v>
      </c>
    </row>
    <row r="41" spans="1:19" s="35" customFormat="1">
      <c r="A41" s="34" t="s">
        <v>72</v>
      </c>
      <c r="B41" s="20">
        <f t="shared" ref="B41:I41" si="13">B39+B40</f>
        <v>4331.116</v>
      </c>
      <c r="C41" s="20">
        <f t="shared" si="13"/>
        <v>4282.8900000000003</v>
      </c>
      <c r="D41" s="20">
        <f t="shared" si="13"/>
        <v>4206.4339999999993</v>
      </c>
      <c r="E41" s="20">
        <f t="shared" si="13"/>
        <v>4815.6539999999995</v>
      </c>
      <c r="F41" s="20">
        <f t="shared" si="13"/>
        <v>4922.0640000000003</v>
      </c>
      <c r="G41" s="20">
        <f t="shared" si="13"/>
        <v>3849.9479999999999</v>
      </c>
      <c r="H41" s="20">
        <f t="shared" si="13"/>
        <v>3528.1680000000001</v>
      </c>
      <c r="I41" s="20">
        <f t="shared" si="13"/>
        <v>4019</v>
      </c>
      <c r="J41" s="20"/>
      <c r="K41" s="20"/>
      <c r="L41" s="20"/>
    </row>
    <row r="42" spans="1:19" s="35" customFormat="1">
      <c r="A42" s="34" t="s">
        <v>73</v>
      </c>
      <c r="B42" s="36">
        <v>1649</v>
      </c>
      <c r="C42" s="36">
        <v>1649</v>
      </c>
      <c r="D42" s="36">
        <v>1649</v>
      </c>
      <c r="E42" s="36">
        <v>1649</v>
      </c>
      <c r="F42" s="36">
        <v>1649</v>
      </c>
      <c r="G42" s="36">
        <v>1649</v>
      </c>
      <c r="H42" s="36">
        <v>1649</v>
      </c>
      <c r="I42" s="36">
        <v>1649</v>
      </c>
      <c r="J42" s="36"/>
      <c r="K42" s="36"/>
      <c r="L42" s="36"/>
    </row>
    <row r="43" spans="1:19">
      <c r="B43" s="35"/>
      <c r="C43" s="35"/>
      <c r="D43" s="35"/>
      <c r="E43" s="35"/>
      <c r="F43" s="35"/>
      <c r="G43" s="35"/>
      <c r="H43" s="35"/>
      <c r="I43" s="35"/>
      <c r="J43" s="35"/>
      <c r="K43" s="35"/>
    </row>
    <row r="44" spans="1:19">
      <c r="A44" s="19" t="s">
        <v>74</v>
      </c>
      <c r="B44" s="28">
        <v>1018.873</v>
      </c>
      <c r="C44" s="28">
        <v>1117.742</v>
      </c>
      <c r="D44" s="28">
        <v>851.05700000000002</v>
      </c>
      <c r="E44" s="28">
        <v>1377.616</v>
      </c>
      <c r="F44" s="28">
        <v>1683.357</v>
      </c>
      <c r="G44" s="28">
        <v>1040.3589999999999</v>
      </c>
      <c r="H44" s="28">
        <v>1364.5540000000001</v>
      </c>
      <c r="I44" s="28">
        <v>600</v>
      </c>
      <c r="J44" s="28"/>
      <c r="K44" s="28"/>
      <c r="L44" s="28"/>
    </row>
    <row r="46" spans="1:19">
      <c r="A46" s="14" t="s">
        <v>75</v>
      </c>
      <c r="B46" s="58">
        <f>C46+B12-F12</f>
        <v>648.56999999999994</v>
      </c>
      <c r="C46" s="58">
        <f>D46+C12-G12</f>
        <v>1671.759</v>
      </c>
      <c r="D46" s="58">
        <f>E46+D12-H12</f>
        <v>2711.4980000000005</v>
      </c>
      <c r="E46" s="58">
        <f>F46+E12-I12</f>
        <v>3903.0750000000007</v>
      </c>
      <c r="F46" s="58">
        <f>G46+F12-J12</f>
        <v>5063.0150000000003</v>
      </c>
      <c r="G46" s="51">
        <v>5147.2520000000004</v>
      </c>
      <c r="H46" s="58">
        <f>I46+H12-L12</f>
        <v>5057.0370000000003</v>
      </c>
      <c r="I46" s="51">
        <v>4925</v>
      </c>
      <c r="J46" s="33"/>
      <c r="K46" s="33"/>
      <c r="L46" s="33"/>
    </row>
    <row r="47" spans="1:19">
      <c r="A47" s="14" t="s">
        <v>76</v>
      </c>
      <c r="B47" s="58">
        <f t="shared" ref="B47:H47" si="14">B27</f>
        <v>-363.24700000000018</v>
      </c>
      <c r="C47" s="58">
        <f t="shared" si="14"/>
        <v>-31.049000000000092</v>
      </c>
      <c r="D47" s="58">
        <f t="shared" si="14"/>
        <v>250.06500000000017</v>
      </c>
      <c r="E47" s="58">
        <f t="shared" si="14"/>
        <v>673.82900000000018</v>
      </c>
      <c r="F47" s="58">
        <f t="shared" si="14"/>
        <v>1010.1910000000001</v>
      </c>
      <c r="G47" s="58">
        <f t="shared" si="14"/>
        <v>1028.5430000000001</v>
      </c>
      <c r="H47" s="58">
        <f t="shared" si="14"/>
        <v>972.06299999999999</v>
      </c>
      <c r="I47" s="51">
        <v>945</v>
      </c>
      <c r="J47" s="33"/>
      <c r="K47" s="33"/>
      <c r="L47" s="33"/>
    </row>
    <row r="48" spans="1:19">
      <c r="A48" s="14" t="s">
        <v>77</v>
      </c>
      <c r="B48" s="58">
        <f t="shared" ref="B48:G48" si="15">162.224-2.4-55.904</f>
        <v>103.91999999999999</v>
      </c>
      <c r="C48" s="58">
        <f t="shared" si="15"/>
        <v>103.91999999999999</v>
      </c>
      <c r="D48" s="58">
        <f t="shared" si="15"/>
        <v>103.91999999999999</v>
      </c>
      <c r="E48" s="58">
        <f t="shared" si="15"/>
        <v>103.91999999999999</v>
      </c>
      <c r="F48" s="58">
        <f t="shared" si="15"/>
        <v>103.91999999999999</v>
      </c>
      <c r="G48" s="58">
        <f t="shared" si="15"/>
        <v>103.91999999999999</v>
      </c>
      <c r="H48" s="58">
        <f>I48+H37-L37</f>
        <v>668.48400000000004</v>
      </c>
      <c r="I48" s="51">
        <v>517.54399999999998</v>
      </c>
      <c r="J48" s="33"/>
      <c r="K48" s="33"/>
      <c r="L48" s="33"/>
    </row>
    <row r="50" spans="1:12" s="37" customFormat="1">
      <c r="A50" s="37" t="s">
        <v>78</v>
      </c>
      <c r="B50" s="161" t="s">
        <v>661</v>
      </c>
      <c r="C50" s="161" t="s">
        <v>661</v>
      </c>
      <c r="D50" s="37">
        <f t="shared" ref="D50:I50" si="16">+SUM(D39:D40)/D47</f>
        <v>16.821362445764088</v>
      </c>
      <c r="E50" s="37">
        <f t="shared" si="16"/>
        <v>7.1467004239948091</v>
      </c>
      <c r="F50" s="37">
        <f t="shared" si="16"/>
        <v>4.8724092770575069</v>
      </c>
      <c r="G50" s="37">
        <f t="shared" si="16"/>
        <v>3.743108455358696</v>
      </c>
      <c r="H50" s="37">
        <f t="shared" si="16"/>
        <v>3.6295672194086186</v>
      </c>
      <c r="I50" s="37">
        <f t="shared" si="16"/>
        <v>4.2529100529100532</v>
      </c>
    </row>
    <row r="51" spans="1:12" s="37" customFormat="1">
      <c r="A51" s="37" t="s">
        <v>79</v>
      </c>
      <c r="B51" s="161" t="s">
        <v>661</v>
      </c>
      <c r="C51" s="161" t="s">
        <v>661</v>
      </c>
      <c r="D51" s="37">
        <f t="shared" ref="D51:I51" si="17">+D41/D47</f>
        <v>16.821362445764088</v>
      </c>
      <c r="E51" s="37">
        <f t="shared" si="17"/>
        <v>7.1467004239948091</v>
      </c>
      <c r="F51" s="37">
        <f t="shared" si="17"/>
        <v>4.8724092770575069</v>
      </c>
      <c r="G51" s="37">
        <f t="shared" si="17"/>
        <v>3.743108455358696</v>
      </c>
      <c r="H51" s="37">
        <f t="shared" si="17"/>
        <v>3.6295672194086186</v>
      </c>
      <c r="I51" s="37">
        <f t="shared" si="17"/>
        <v>4.2529100529100532</v>
      </c>
    </row>
    <row r="52" spans="1:12" s="37" customFormat="1">
      <c r="A52" s="37" t="s">
        <v>80</v>
      </c>
      <c r="B52" s="161" t="s">
        <v>661</v>
      </c>
      <c r="C52" s="161" t="s">
        <v>661</v>
      </c>
      <c r="D52" s="37">
        <f t="shared" ref="D52:I52" si="18">+(D41-D44)/D47</f>
        <v>13.418019314978094</v>
      </c>
      <c r="E52" s="37">
        <f t="shared" si="18"/>
        <v>5.1022410730318803</v>
      </c>
      <c r="F52" s="37">
        <f t="shared" si="18"/>
        <v>3.2060343044038206</v>
      </c>
      <c r="G52" s="37">
        <f t="shared" si="18"/>
        <v>2.7316203600627293</v>
      </c>
      <c r="H52" s="37">
        <f t="shared" si="18"/>
        <v>2.2257960646583608</v>
      </c>
      <c r="I52" s="37">
        <f t="shared" si="18"/>
        <v>3.6179894179894179</v>
      </c>
    </row>
    <row r="53" spans="1:12" s="38" customFormat="1">
      <c r="A53" s="38" t="s">
        <v>81</v>
      </c>
      <c r="B53" s="38">
        <f t="shared" ref="B53" si="19">+B48/B41</f>
        <v>2.3993815912573109E-2</v>
      </c>
      <c r="C53" s="38">
        <f t="shared" ref="C53" si="20">+C48/C41</f>
        <v>2.4263989969389822E-2</v>
      </c>
      <c r="D53" s="38">
        <f t="shared" ref="D53:I53" si="21">+D48/D41</f>
        <v>2.4705011418222657E-2</v>
      </c>
      <c r="E53" s="38">
        <f t="shared" si="21"/>
        <v>2.1579623453013858E-2</v>
      </c>
      <c r="F53" s="38">
        <f t="shared" si="21"/>
        <v>2.1113094019094426E-2</v>
      </c>
      <c r="G53" s="38">
        <f t="shared" si="21"/>
        <v>2.6992572367211191E-2</v>
      </c>
      <c r="H53" s="38">
        <f t="shared" si="21"/>
        <v>0.18947056942866666</v>
      </c>
      <c r="I53" s="38">
        <f t="shared" si="21"/>
        <v>0.12877432197063945</v>
      </c>
    </row>
    <row r="54" spans="1:12" s="38" customFormat="1">
      <c r="A54" s="39" t="s">
        <v>82</v>
      </c>
      <c r="B54" s="40"/>
      <c r="C54" s="40"/>
      <c r="D54" s="40"/>
      <c r="E54" s="40"/>
      <c r="F54" s="40"/>
      <c r="G54" s="40"/>
      <c r="H54" s="40"/>
      <c r="I54" s="40"/>
      <c r="J54" s="40"/>
      <c r="K54" s="40"/>
      <c r="L54" s="40"/>
    </row>
    <row r="55" spans="1:12" s="38" customFormat="1">
      <c r="A55" s="38" t="s">
        <v>83</v>
      </c>
      <c r="B55" s="162" t="s">
        <v>661</v>
      </c>
      <c r="C55" s="162" t="s">
        <v>661</v>
      </c>
      <c r="D55" s="41">
        <f t="shared" ref="D55:I55" si="22">IF(D42=0,IF(D54="","","*"&amp;TEXT(D54,"0.0x")),(D41+D42-D44)/D47)</f>
        <v>20.012304800751789</v>
      </c>
      <c r="E55" s="41">
        <f t="shared" si="22"/>
        <v>7.5494494894105157</v>
      </c>
      <c r="F55" s="41">
        <f t="shared" si="22"/>
        <v>4.8383988770440434</v>
      </c>
      <c r="G55" s="41">
        <f t="shared" si="22"/>
        <v>4.3348591162450179</v>
      </c>
      <c r="H55" s="41">
        <f t="shared" si="22"/>
        <v>3.9221881709313076</v>
      </c>
      <c r="I55" s="41">
        <f t="shared" si="22"/>
        <v>5.3629629629629632</v>
      </c>
      <c r="J55" s="41"/>
      <c r="K55" s="41"/>
      <c r="L55" s="41"/>
    </row>
    <row r="57" spans="1:12" ht="80.25" customHeight="1">
      <c r="A57" s="43" t="s">
        <v>84</v>
      </c>
      <c r="B57" s="44" t="s">
        <v>289</v>
      </c>
      <c r="C57" s="44" t="s">
        <v>289</v>
      </c>
      <c r="D57" s="44" t="s">
        <v>289</v>
      </c>
      <c r="E57" s="44" t="s">
        <v>289</v>
      </c>
      <c r="F57" s="44" t="s">
        <v>289</v>
      </c>
      <c r="G57" s="44" t="s">
        <v>289</v>
      </c>
      <c r="H57" s="44"/>
      <c r="I57" s="44" t="s">
        <v>534</v>
      </c>
      <c r="J57" s="44"/>
      <c r="K57" s="44"/>
      <c r="L57" s="44"/>
    </row>
    <row r="58" spans="1:12">
      <c r="A58" s="45"/>
      <c r="B58" s="42"/>
      <c r="C58" s="42"/>
      <c r="D58" s="42"/>
      <c r="E58" s="42"/>
      <c r="F58" s="42"/>
      <c r="G58" s="42"/>
      <c r="H58" s="42"/>
      <c r="I58" s="42"/>
    </row>
    <row r="59" spans="1:12">
      <c r="A59" s="45"/>
    </row>
  </sheetData>
  <pageMargins left="0.7" right="0.7" top="0.75" bottom="0.75" header="0.3" footer="0.3"/>
  <pageSetup orientation="portrait" r:id="rId1"/>
  <legacyDrawing r:id="rId2"/>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2:P59"/>
  <sheetViews>
    <sheetView showGridLines="0" zoomScaleNormal="100" workbookViewId="0">
      <pane xSplit="1" ySplit="10" topLeftCell="B11" activePane="bottomRight" state="frozen"/>
      <selection activeCell="B8" sqref="B8"/>
      <selection pane="topRight" activeCell="B8" sqref="B8"/>
      <selection pane="bottomLeft" activeCell="B8" sqref="B8"/>
      <selection pane="bottomRight" activeCell="B11" sqref="B11"/>
    </sheetView>
  </sheetViews>
  <sheetFormatPr defaultColWidth="9.109375" defaultRowHeight="13.8"/>
  <cols>
    <col min="1" max="1" width="22.6640625" style="14" customWidth="1"/>
    <col min="2" max="14" width="10.6640625" style="14" customWidth="1"/>
    <col min="15" max="16384" width="9.109375" style="14"/>
  </cols>
  <sheetData>
    <row r="2" spans="1:16">
      <c r="A2" s="13" t="s">
        <v>44</v>
      </c>
      <c r="B2" s="14" t="s">
        <v>502</v>
      </c>
    </row>
    <row r="3" spans="1:16" s="16" customFormat="1">
      <c r="A3" s="15" t="s">
        <v>45</v>
      </c>
      <c r="B3" s="16" t="s">
        <v>498</v>
      </c>
    </row>
    <row r="4" spans="1:16">
      <c r="A4" s="13" t="s">
        <v>2</v>
      </c>
      <c r="B4" s="14" t="s">
        <v>4</v>
      </c>
    </row>
    <row r="5" spans="1:16">
      <c r="A5" s="13" t="s">
        <v>46</v>
      </c>
    </row>
    <row r="6" spans="1:16">
      <c r="A6" s="13" t="s">
        <v>47</v>
      </c>
      <c r="B6" s="14">
        <v>2</v>
      </c>
    </row>
    <row r="7" spans="1:16">
      <c r="A7" s="13" t="s">
        <v>48</v>
      </c>
      <c r="B7" s="14" t="s">
        <v>482</v>
      </c>
    </row>
    <row r="8" spans="1:16">
      <c r="A8" s="13" t="s">
        <v>347</v>
      </c>
      <c r="B8" s="14" t="s">
        <v>497</v>
      </c>
    </row>
    <row r="9" spans="1:16">
      <c r="A9" s="17"/>
    </row>
    <row r="10" spans="1:16">
      <c r="A10" s="17" t="s">
        <v>49</v>
      </c>
      <c r="B10" s="18">
        <v>44377</v>
      </c>
      <c r="C10" s="18">
        <v>44286</v>
      </c>
      <c r="D10" s="18">
        <v>44196</v>
      </c>
      <c r="E10" s="18">
        <v>44104</v>
      </c>
      <c r="F10" s="18">
        <v>44012</v>
      </c>
      <c r="G10" s="18">
        <v>43921</v>
      </c>
      <c r="H10" s="18">
        <v>43830</v>
      </c>
      <c r="I10" s="18">
        <v>43738</v>
      </c>
      <c r="J10" s="18">
        <v>43646</v>
      </c>
      <c r="K10" s="18">
        <f>EOMONTH(J10,-3)</f>
        <v>43555</v>
      </c>
      <c r="L10" s="18">
        <f t="shared" ref="L10:N10" si="0">EOMONTH(K10,-3)</f>
        <v>43465</v>
      </c>
      <c r="M10" s="18">
        <f t="shared" si="0"/>
        <v>43373</v>
      </c>
      <c r="N10" s="18">
        <f t="shared" si="0"/>
        <v>43281</v>
      </c>
    </row>
    <row r="12" spans="1:16">
      <c r="A12" s="19" t="s">
        <v>50</v>
      </c>
      <c r="B12" s="20">
        <v>669.3</v>
      </c>
      <c r="C12" s="20">
        <f>1982.78-D12-E12-F12</f>
        <v>443.80899999999997</v>
      </c>
      <c r="D12" s="20">
        <v>486.14499999999998</v>
      </c>
      <c r="E12" s="20">
        <v>544.18700000000001</v>
      </c>
      <c r="F12" s="20">
        <v>508.63900000000001</v>
      </c>
      <c r="G12" s="20">
        <f>1673.805-H12-I12-J12</f>
        <v>370.76800000000009</v>
      </c>
      <c r="H12" s="20">
        <v>393.42399999999998</v>
      </c>
      <c r="I12" s="20">
        <v>495.90499999999997</v>
      </c>
      <c r="J12" s="20">
        <v>413.70800000000003</v>
      </c>
      <c r="K12" s="20">
        <f>1384.733-L12-M12-N12</f>
        <v>272.21799999999985</v>
      </c>
      <c r="L12" s="20">
        <v>318.113</v>
      </c>
      <c r="M12" s="20">
        <v>406.55500000000001</v>
      </c>
      <c r="N12" s="20">
        <v>387.84699999999998</v>
      </c>
    </row>
    <row r="13" spans="1:16" s="21" customFormat="1">
      <c r="A13" s="21" t="s">
        <v>51</v>
      </c>
      <c r="B13" s="21">
        <f t="shared" ref="B13:J13" si="1">+B12/F12-1</f>
        <v>0.3158644932850212</v>
      </c>
      <c r="C13" s="21">
        <f t="shared" si="1"/>
        <v>0.1969992016571005</v>
      </c>
      <c r="D13" s="21">
        <f t="shared" si="1"/>
        <v>0.23567703037943799</v>
      </c>
      <c r="E13" s="21">
        <f t="shared" si="1"/>
        <v>9.7361389782317342E-2</v>
      </c>
      <c r="F13" s="21">
        <f t="shared" si="1"/>
        <v>0.2294637763833427</v>
      </c>
      <c r="G13" s="21">
        <f t="shared" si="1"/>
        <v>0.36202602326076994</v>
      </c>
      <c r="H13" s="21">
        <f t="shared" si="1"/>
        <v>0.23674291839692185</v>
      </c>
      <c r="I13" s="21">
        <f t="shared" si="1"/>
        <v>0.21977346238516304</v>
      </c>
      <c r="J13" s="21">
        <f t="shared" si="1"/>
        <v>6.667835512457243E-2</v>
      </c>
    </row>
    <row r="14" spans="1:16" s="24" customFormat="1">
      <c r="A14" s="22" t="s">
        <v>52</v>
      </c>
      <c r="B14" s="66" t="s">
        <v>3</v>
      </c>
      <c r="C14" s="66" t="s">
        <v>3</v>
      </c>
      <c r="D14" s="66" t="s">
        <v>3</v>
      </c>
      <c r="E14" s="66" t="s">
        <v>3</v>
      </c>
      <c r="F14" s="66" t="s">
        <v>3</v>
      </c>
      <c r="G14" s="66">
        <v>0.153</v>
      </c>
      <c r="H14" s="66">
        <v>5.3999999999999999E-2</v>
      </c>
      <c r="I14" s="66">
        <v>0.09</v>
      </c>
      <c r="J14" s="23" t="s">
        <v>3</v>
      </c>
      <c r="K14" s="23"/>
      <c r="L14" s="23"/>
      <c r="M14" s="23"/>
      <c r="N14" s="22"/>
    </row>
    <row r="16" spans="1:16" s="17" customFormat="1">
      <c r="A16" s="25" t="s">
        <v>53</v>
      </c>
      <c r="B16" s="26">
        <v>166.58199999999999</v>
      </c>
      <c r="C16" s="26">
        <v>94.548000000000002</v>
      </c>
      <c r="D16" s="26">
        <v>138.863</v>
      </c>
      <c r="E16" s="26">
        <v>174.07400000000001</v>
      </c>
      <c r="F16" s="26">
        <v>159.47</v>
      </c>
      <c r="G16" s="26">
        <v>72.093999999999994</v>
      </c>
      <c r="H16" s="26">
        <v>91.313999999999993</v>
      </c>
      <c r="I16" s="26">
        <v>118.164</v>
      </c>
      <c r="J16" s="26">
        <v>80.296000000000006</v>
      </c>
      <c r="K16" s="26">
        <f>36.862</f>
        <v>36.862000000000002</v>
      </c>
      <c r="L16" s="26">
        <v>48.433999999999997</v>
      </c>
      <c r="M16" s="26">
        <v>71.521000000000001</v>
      </c>
      <c r="N16" s="26">
        <v>75.143000000000001</v>
      </c>
      <c r="P16" s="14"/>
    </row>
    <row r="17" spans="1:14" s="21" customFormat="1">
      <c r="A17" s="21" t="s">
        <v>54</v>
      </c>
      <c r="B17" s="21">
        <f t="shared" ref="B17" si="2">+B16/B12</f>
        <v>0.24888988495443001</v>
      </c>
      <c r="C17" s="21">
        <f t="shared" ref="C17:D17" si="3">+C16/C12</f>
        <v>0.21303759049501025</v>
      </c>
      <c r="D17" s="21">
        <f t="shared" si="3"/>
        <v>0.28564111530510444</v>
      </c>
      <c r="E17" s="21">
        <f t="shared" ref="E17:F17" si="4">+E16/E12</f>
        <v>0.31987901217779918</v>
      </c>
      <c r="F17" s="21">
        <f t="shared" si="4"/>
        <v>0.31352295046191897</v>
      </c>
      <c r="G17" s="21">
        <f t="shared" ref="G17:M17" si="5">+G16/G12</f>
        <v>0.19444504380097521</v>
      </c>
      <c r="H17" s="21">
        <f t="shared" si="5"/>
        <v>0.2321007361015088</v>
      </c>
      <c r="I17" s="21">
        <f t="shared" si="5"/>
        <v>0.23827950918018573</v>
      </c>
      <c r="J17" s="21">
        <f t="shared" si="5"/>
        <v>0.194088584218821</v>
      </c>
      <c r="K17" s="21">
        <f t="shared" si="5"/>
        <v>0.13541352886289673</v>
      </c>
      <c r="L17" s="21">
        <f t="shared" si="5"/>
        <v>0.15225407323812606</v>
      </c>
      <c r="M17" s="21">
        <f t="shared" si="5"/>
        <v>0.17591961727195582</v>
      </c>
      <c r="N17" s="21">
        <f t="shared" ref="N17" si="6">+N16/N12</f>
        <v>0.19374392479508673</v>
      </c>
    </row>
    <row r="18" spans="1:14" s="24" customFormat="1"/>
    <row r="19" spans="1:14" s="24" customFormat="1">
      <c r="A19" s="19" t="s">
        <v>55</v>
      </c>
      <c r="B19" s="20">
        <v>0</v>
      </c>
      <c r="C19" s="20">
        <v>0</v>
      </c>
      <c r="D19" s="20">
        <v>0</v>
      </c>
      <c r="E19" s="20">
        <v>0</v>
      </c>
      <c r="F19" s="20">
        <v>0</v>
      </c>
      <c r="G19" s="20">
        <v>0</v>
      </c>
      <c r="H19" s="20">
        <v>0</v>
      </c>
      <c r="I19" s="20">
        <v>0</v>
      </c>
      <c r="J19" s="20">
        <v>0</v>
      </c>
      <c r="K19" s="20">
        <v>0</v>
      </c>
      <c r="L19" s="20">
        <v>0</v>
      </c>
      <c r="M19" s="20">
        <v>0</v>
      </c>
      <c r="N19" s="20">
        <v>0</v>
      </c>
    </row>
    <row r="20" spans="1:14" s="24" customFormat="1">
      <c r="A20" s="19" t="s">
        <v>56</v>
      </c>
      <c r="B20" s="20">
        <v>0</v>
      </c>
      <c r="C20" s="20">
        <v>0</v>
      </c>
      <c r="D20" s="20">
        <v>0</v>
      </c>
      <c r="E20" s="20">
        <v>0</v>
      </c>
      <c r="F20" s="20">
        <v>0</v>
      </c>
      <c r="G20" s="20">
        <v>0</v>
      </c>
      <c r="H20" s="20">
        <v>0</v>
      </c>
      <c r="I20" s="20">
        <v>0</v>
      </c>
      <c r="J20" s="20">
        <v>0</v>
      </c>
      <c r="K20" s="20">
        <v>0</v>
      </c>
      <c r="L20" s="20">
        <v>0</v>
      </c>
      <c r="M20" s="20">
        <v>0</v>
      </c>
      <c r="N20" s="20">
        <v>0</v>
      </c>
    </row>
    <row r="21" spans="1:14" s="24" customFormat="1">
      <c r="A21" s="19" t="s">
        <v>57</v>
      </c>
      <c r="B21" s="20">
        <v>0</v>
      </c>
      <c r="C21" s="20">
        <v>0</v>
      </c>
      <c r="D21" s="20">
        <v>0</v>
      </c>
      <c r="E21" s="20">
        <v>0</v>
      </c>
      <c r="F21" s="20">
        <v>0</v>
      </c>
      <c r="G21" s="20">
        <v>0</v>
      </c>
      <c r="H21" s="20">
        <v>0</v>
      </c>
      <c r="I21" s="20">
        <v>0</v>
      </c>
      <c r="J21" s="20">
        <v>0</v>
      </c>
      <c r="K21" s="20">
        <v>0</v>
      </c>
      <c r="L21" s="20">
        <v>0</v>
      </c>
      <c r="M21" s="20">
        <v>0</v>
      </c>
      <c r="N21" s="20">
        <v>0</v>
      </c>
    </row>
    <row r="22" spans="1:14" s="17" customFormat="1">
      <c r="A22" s="17" t="s">
        <v>58</v>
      </c>
      <c r="B22" s="27">
        <f t="shared" ref="B22" si="7">SUM(B16,B19:B21)</f>
        <v>166.58199999999999</v>
      </c>
      <c r="C22" s="27">
        <f t="shared" ref="C22:D22" si="8">SUM(C16,C19:C21)</f>
        <v>94.548000000000002</v>
      </c>
      <c r="D22" s="27">
        <f t="shared" si="8"/>
        <v>138.863</v>
      </c>
      <c r="E22" s="27">
        <f t="shared" ref="E22:F22" si="9">SUM(E16,E19:E21)</f>
        <v>174.07400000000001</v>
      </c>
      <c r="F22" s="27">
        <f t="shared" si="9"/>
        <v>159.47</v>
      </c>
      <c r="G22" s="27">
        <f t="shared" ref="G22:N22" si="10">SUM(G16,G19:G21)</f>
        <v>72.093999999999994</v>
      </c>
      <c r="H22" s="27">
        <f t="shared" si="10"/>
        <v>91.313999999999993</v>
      </c>
      <c r="I22" s="27">
        <f t="shared" si="10"/>
        <v>118.164</v>
      </c>
      <c r="J22" s="27">
        <f t="shared" si="10"/>
        <v>80.296000000000006</v>
      </c>
      <c r="K22" s="27">
        <f t="shared" si="10"/>
        <v>36.862000000000002</v>
      </c>
      <c r="L22" s="27">
        <f t="shared" si="10"/>
        <v>48.433999999999997</v>
      </c>
      <c r="M22" s="27">
        <f t="shared" si="10"/>
        <v>71.521000000000001</v>
      </c>
      <c r="N22" s="27">
        <f t="shared" si="10"/>
        <v>75.143000000000001</v>
      </c>
    </row>
    <row r="23" spans="1:14" s="17" customFormat="1">
      <c r="B23" s="21"/>
      <c r="C23" s="21"/>
      <c r="D23" s="21"/>
      <c r="E23" s="21"/>
      <c r="F23" s="21"/>
      <c r="G23" s="21"/>
      <c r="H23" s="21"/>
      <c r="I23" s="21"/>
      <c r="J23" s="27"/>
      <c r="K23" s="27"/>
      <c r="L23" s="27"/>
      <c r="M23" s="27"/>
      <c r="N23" s="27"/>
    </row>
    <row r="24" spans="1:14" s="17" customFormat="1">
      <c r="A24" s="17" t="s">
        <v>59</v>
      </c>
      <c r="B24" s="65">
        <f t="shared" ref="B24:H24" si="11">SUM(B22:E22)</f>
        <v>574.06700000000001</v>
      </c>
      <c r="C24" s="65">
        <f t="shared" si="11"/>
        <v>566.95500000000004</v>
      </c>
      <c r="D24" s="65">
        <f t="shared" si="11"/>
        <v>544.50099999999998</v>
      </c>
      <c r="E24" s="65">
        <f t="shared" si="11"/>
        <v>496.952</v>
      </c>
      <c r="F24" s="65">
        <f t="shared" si="11"/>
        <v>441.04199999999997</v>
      </c>
      <c r="G24" s="65">
        <f t="shared" si="11"/>
        <v>361.86799999999999</v>
      </c>
      <c r="H24" s="65">
        <f t="shared" si="11"/>
        <v>326.63600000000002</v>
      </c>
      <c r="I24" s="46">
        <f>J24+71.5+17.2+14.2-1.2-7.6-M22</f>
        <v>360.57899999999995</v>
      </c>
      <c r="J24" s="27">
        <f>J27-J26-J25</f>
        <v>338</v>
      </c>
      <c r="K24" s="27"/>
      <c r="L24" s="27"/>
      <c r="M24" s="27"/>
      <c r="N24" s="27"/>
    </row>
    <row r="25" spans="1:14" s="24" customFormat="1">
      <c r="A25" s="19" t="s">
        <v>60</v>
      </c>
      <c r="B25" s="28">
        <f>(B41-B44)/1.2-B24</f>
        <v>10.238833333333332</v>
      </c>
      <c r="C25" s="28">
        <f>(C41-C44)/1.1-C24</f>
        <v>22.127727272727157</v>
      </c>
      <c r="D25" s="28">
        <f>(D41-D44)/1.1-D24</f>
        <v>20.957181818181766</v>
      </c>
      <c r="E25" s="28">
        <f>(E41-E44)/1.5-E24</f>
        <v>0.95933333333329074</v>
      </c>
      <c r="F25" s="28">
        <f>(F41-F44)/1.9-F24</f>
        <v>18.321157894736871</v>
      </c>
      <c r="G25" s="28">
        <f>(G41-G44)/2.5-G24</f>
        <v>34.038800000000037</v>
      </c>
      <c r="H25" s="28">
        <f>(H41-H44)/2.5-H24</f>
        <v>62.839199999999948</v>
      </c>
      <c r="I25" s="28">
        <f>J25/4*3</f>
        <v>14.25</v>
      </c>
      <c r="J25" s="28">
        <v>19</v>
      </c>
      <c r="K25" s="28"/>
      <c r="L25" s="28"/>
      <c r="M25" s="28"/>
      <c r="N25" s="28"/>
    </row>
    <row r="26" spans="1:14" s="24" customFormat="1">
      <c r="A26" s="19" t="s">
        <v>61</v>
      </c>
      <c r="B26" s="29">
        <v>0</v>
      </c>
      <c r="C26" s="29">
        <v>0</v>
      </c>
      <c r="D26" s="29">
        <v>0</v>
      </c>
      <c r="E26" s="29">
        <v>0</v>
      </c>
      <c r="F26" s="29">
        <v>0</v>
      </c>
      <c r="G26" s="29">
        <v>0</v>
      </c>
      <c r="H26" s="29">
        <v>0</v>
      </c>
      <c r="I26" s="29">
        <v>0</v>
      </c>
      <c r="J26" s="29">
        <v>0</v>
      </c>
      <c r="K26" s="29"/>
      <c r="L26" s="29"/>
      <c r="M26" s="29"/>
      <c r="N26" s="29"/>
    </row>
    <row r="27" spans="1:14" s="32" customFormat="1">
      <c r="A27" s="17" t="s">
        <v>62</v>
      </c>
      <c r="B27" s="27">
        <f t="shared" ref="B27:C27" si="12">B24+B25+B26</f>
        <v>584.30583333333334</v>
      </c>
      <c r="C27" s="27">
        <f t="shared" si="12"/>
        <v>589.0827272727272</v>
      </c>
      <c r="D27" s="27">
        <f t="shared" ref="D27:I27" si="13">D24+D25+D26</f>
        <v>565.45818181818174</v>
      </c>
      <c r="E27" s="27">
        <f t="shared" si="13"/>
        <v>497.91133333333329</v>
      </c>
      <c r="F27" s="27">
        <f t="shared" si="13"/>
        <v>459.36315789473684</v>
      </c>
      <c r="G27" s="27">
        <f t="shared" si="13"/>
        <v>395.90680000000003</v>
      </c>
      <c r="H27" s="27">
        <f t="shared" si="13"/>
        <v>389.47519999999997</v>
      </c>
      <c r="I27" s="27">
        <f t="shared" si="13"/>
        <v>374.82899999999995</v>
      </c>
      <c r="J27" s="27">
        <f>J47</f>
        <v>357</v>
      </c>
      <c r="K27" s="27"/>
      <c r="L27" s="27"/>
      <c r="M27" s="27"/>
      <c r="N27" s="27"/>
    </row>
    <row r="28" spans="1:14" s="24" customFormat="1"/>
    <row r="29" spans="1:14" s="17" customFormat="1">
      <c r="A29" s="17" t="s">
        <v>58</v>
      </c>
      <c r="B29" s="27">
        <f t="shared" ref="B29" si="14">B22</f>
        <v>166.58199999999999</v>
      </c>
      <c r="C29" s="27">
        <f t="shared" ref="C29:D29" si="15">C22</f>
        <v>94.548000000000002</v>
      </c>
      <c r="D29" s="27">
        <f t="shared" si="15"/>
        <v>138.863</v>
      </c>
      <c r="E29" s="27">
        <f t="shared" ref="E29:F29" si="16">E22</f>
        <v>174.07400000000001</v>
      </c>
      <c r="F29" s="27">
        <f t="shared" si="16"/>
        <v>159.47</v>
      </c>
      <c r="G29" s="27">
        <f t="shared" ref="G29:N29" si="17">G22</f>
        <v>72.093999999999994</v>
      </c>
      <c r="H29" s="27">
        <f t="shared" si="17"/>
        <v>91.313999999999993</v>
      </c>
      <c r="I29" s="27">
        <f t="shared" si="17"/>
        <v>118.164</v>
      </c>
      <c r="J29" s="27">
        <f t="shared" si="17"/>
        <v>80.296000000000006</v>
      </c>
      <c r="K29" s="27">
        <f t="shared" si="17"/>
        <v>36.862000000000002</v>
      </c>
      <c r="L29" s="27">
        <f t="shared" si="17"/>
        <v>48.433999999999997</v>
      </c>
      <c r="M29" s="27">
        <f t="shared" si="17"/>
        <v>71.521000000000001</v>
      </c>
      <c r="N29" s="27">
        <f t="shared" si="17"/>
        <v>75.143000000000001</v>
      </c>
    </row>
    <row r="30" spans="1:14" s="33" customFormat="1">
      <c r="A30" s="20" t="s">
        <v>63</v>
      </c>
      <c r="B30" s="20">
        <v>-3.714</v>
      </c>
      <c r="C30" s="20">
        <f>-37.614-D30-E30-F30</f>
        <v>-12.308999999999994</v>
      </c>
      <c r="D30" s="20">
        <f>-25.305-E30-F30</f>
        <v>-4.3820000000000023</v>
      </c>
      <c r="E30" s="20">
        <f>-20.923-F30</f>
        <v>-13.988999999999997</v>
      </c>
      <c r="F30" s="20">
        <v>-6.9340000000000002</v>
      </c>
      <c r="G30" s="20">
        <f>-41.29-H30-I30-J30</f>
        <v>-17.298000000000002</v>
      </c>
      <c r="H30" s="20">
        <f>-23.992-I30-J30</f>
        <v>-6.2210000000000001</v>
      </c>
      <c r="I30" s="20">
        <f>-17.771-J30</f>
        <v>-13.851000000000001</v>
      </c>
      <c r="J30" s="20">
        <v>-3.92</v>
      </c>
      <c r="K30" s="20"/>
      <c r="L30" s="20"/>
      <c r="M30" s="20"/>
      <c r="N30" s="20"/>
    </row>
    <row r="31" spans="1:14" s="33" customFormat="1">
      <c r="A31" s="20" t="s">
        <v>64</v>
      </c>
      <c r="B31" s="20">
        <v>-2.605</v>
      </c>
      <c r="C31" s="20">
        <f>-97.636-D31-E31-F31</f>
        <v>-33.291999999999994</v>
      </c>
      <c r="D31" s="20">
        <f>-64.344-E31-F31</f>
        <v>-25.130999999999993</v>
      </c>
      <c r="E31" s="20">
        <f>-39.213-F31</f>
        <v>-39.231999999999999</v>
      </c>
      <c r="F31" s="20">
        <v>1.9E-2</v>
      </c>
      <c r="G31" s="20">
        <f>-8.71-H31-I31-J31</f>
        <v>0.73999999999999833</v>
      </c>
      <c r="H31" s="20">
        <f>-9.45-I31-J31</f>
        <v>-2.2509999999999994</v>
      </c>
      <c r="I31" s="20">
        <f>-7.199-J31</f>
        <v>-6.6639999999999997</v>
      </c>
      <c r="J31" s="20">
        <v>-0.53500000000000003</v>
      </c>
      <c r="K31" s="20"/>
      <c r="L31" s="20"/>
      <c r="M31" s="20"/>
      <c r="N31" s="20"/>
    </row>
    <row r="32" spans="1:14" s="33" customFormat="1">
      <c r="A32" s="20" t="s">
        <v>65</v>
      </c>
      <c r="B32" s="20">
        <f>-67.388-28.985-7.442+75.86</f>
        <v>-27.954999999999998</v>
      </c>
      <c r="C32" s="20">
        <f>-34.76-14.561-1.208+71.241-D32-E32-F32</f>
        <v>-70.725999999999999</v>
      </c>
      <c r="D32" s="20">
        <f>12.502+46.809-2.288+34.415-E32-F32</f>
        <v>52.284000000000006</v>
      </c>
      <c r="E32" s="20">
        <f>-60.106+60.663-3.666+42.263-F32</f>
        <v>22.733999999999998</v>
      </c>
      <c r="F32" s="20">
        <f>-42.093+44.14-3.52+17.893</f>
        <v>16.419999999999998</v>
      </c>
      <c r="G32" s="20">
        <f>5.17+19.086-1.929+31.588-H32-I32-J32</f>
        <v>-49.203999999999994</v>
      </c>
      <c r="H32" s="20">
        <f>50.865+43.317-1.417+10.354-I32-J32</f>
        <v>59.133000000000003</v>
      </c>
      <c r="I32" s="20">
        <f>-44.883+57.316-2.917+34.47-J32</f>
        <v>26.113</v>
      </c>
      <c r="J32" s="20">
        <f>-44.494+34.803-3.089+30.653</f>
        <v>17.872999999999998</v>
      </c>
      <c r="K32" s="20"/>
      <c r="L32" s="20"/>
      <c r="M32" s="20"/>
      <c r="N32" s="20"/>
    </row>
    <row r="33" spans="1:16" s="33" customFormat="1">
      <c r="A33" s="20" t="s">
        <v>66</v>
      </c>
      <c r="B33" s="20">
        <v>0</v>
      </c>
      <c r="C33" s="20">
        <v>0</v>
      </c>
      <c r="D33" s="20">
        <v>0</v>
      </c>
      <c r="E33" s="20">
        <v>0</v>
      </c>
      <c r="F33" s="20">
        <v>0</v>
      </c>
      <c r="G33" s="20">
        <v>0</v>
      </c>
      <c r="H33" s="20">
        <v>0</v>
      </c>
      <c r="I33" s="20">
        <v>0</v>
      </c>
      <c r="J33" s="20">
        <v>0</v>
      </c>
      <c r="K33" s="20"/>
      <c r="L33" s="20"/>
      <c r="M33" s="20"/>
      <c r="N33" s="20"/>
    </row>
    <row r="34" spans="1:16" s="33" customFormat="1">
      <c r="A34" s="20" t="s">
        <v>57</v>
      </c>
      <c r="B34" s="29">
        <v>0</v>
      </c>
      <c r="C34" s="29">
        <v>0</v>
      </c>
      <c r="D34" s="29">
        <v>0</v>
      </c>
      <c r="E34" s="29">
        <v>0</v>
      </c>
      <c r="F34" s="29">
        <v>0</v>
      </c>
      <c r="G34" s="29">
        <v>0</v>
      </c>
      <c r="H34" s="29">
        <v>0</v>
      </c>
      <c r="I34" s="29">
        <v>0</v>
      </c>
      <c r="J34" s="29">
        <v>0</v>
      </c>
      <c r="K34" s="29"/>
      <c r="L34" s="29"/>
      <c r="M34" s="29"/>
      <c r="N34" s="29"/>
    </row>
    <row r="35" spans="1:16" s="27" customFormat="1">
      <c r="A35" s="27" t="s">
        <v>67</v>
      </c>
      <c r="B35" s="27">
        <v>104.348</v>
      </c>
      <c r="C35" s="27">
        <f>452.216-D35-E35-F35</f>
        <v>3.4399999999999977</v>
      </c>
      <c r="D35" s="27">
        <f>448.776-E35-F35</f>
        <v>162.608</v>
      </c>
      <c r="E35" s="27">
        <f>286.168-F35</f>
        <v>152.435</v>
      </c>
      <c r="F35" s="27">
        <v>133.733</v>
      </c>
      <c r="G35" s="27">
        <f>306.189-H35-I35-J35</f>
        <v>9.8710000000000377</v>
      </c>
      <c r="H35" s="27">
        <f>296.318-I35-J35</f>
        <v>124.60699999999997</v>
      </c>
      <c r="I35" s="27">
        <f>171.711-J35</f>
        <v>108.87100000000001</v>
      </c>
      <c r="J35" s="27">
        <v>62.84</v>
      </c>
      <c r="K35" s="27">
        <f>151.678-L35-M35-N35</f>
        <v>3.6560000000000024</v>
      </c>
      <c r="L35" s="27">
        <f>148.022-M35-N35</f>
        <v>89.86099999999999</v>
      </c>
      <c r="M35" s="27">
        <f>58.161-N35</f>
        <v>67.992000000000004</v>
      </c>
      <c r="N35" s="27">
        <v>-9.8309999999999995</v>
      </c>
    </row>
    <row r="36" spans="1:16" s="33" customFormat="1">
      <c r="A36" s="20" t="s">
        <v>68</v>
      </c>
      <c r="B36" s="29">
        <v>-25.545999999999999</v>
      </c>
      <c r="C36" s="29">
        <f>-78.757-D36-E36-F36</f>
        <v>-21.082000000000008</v>
      </c>
      <c r="D36" s="29">
        <f>-57.675-E36-F36</f>
        <v>-28.715999999999994</v>
      </c>
      <c r="E36" s="29">
        <f>-28.959-F36</f>
        <v>-18.664000000000001</v>
      </c>
      <c r="F36" s="29">
        <v>-10.295</v>
      </c>
      <c r="G36" s="29">
        <f>-67.677-H36-I36-J36</f>
        <v>-21.384000000000007</v>
      </c>
      <c r="H36" s="29">
        <f>-46.293-I36-J36</f>
        <v>-20.670999999999999</v>
      </c>
      <c r="I36" s="29">
        <f>-25.622-J36</f>
        <v>-15.898999999999999</v>
      </c>
      <c r="J36" s="29">
        <v>-9.7230000000000008</v>
      </c>
      <c r="K36" s="29">
        <f>-43.412-L36-M36-N36</f>
        <v>-12.282</v>
      </c>
      <c r="L36" s="29">
        <f>-31.13-M36-N36</f>
        <v>-11.831</v>
      </c>
      <c r="M36" s="29">
        <f>-19.299-N36</f>
        <v>-12.425000000000001</v>
      </c>
      <c r="N36" s="29">
        <v>-6.8739999999999997</v>
      </c>
    </row>
    <row r="37" spans="1:16" s="27" customFormat="1">
      <c r="A37" s="27" t="s">
        <v>69</v>
      </c>
      <c r="B37" s="27">
        <f t="shared" ref="B37:K37" si="18">+B35+B36</f>
        <v>78.801999999999992</v>
      </c>
      <c r="C37" s="27">
        <f t="shared" si="18"/>
        <v>-17.64200000000001</v>
      </c>
      <c r="D37" s="27">
        <f t="shared" si="18"/>
        <v>133.892</v>
      </c>
      <c r="E37" s="27">
        <f t="shared" si="18"/>
        <v>133.77100000000002</v>
      </c>
      <c r="F37" s="27">
        <f t="shared" si="18"/>
        <v>123.438</v>
      </c>
      <c r="G37" s="27">
        <f t="shared" si="18"/>
        <v>-11.51299999999997</v>
      </c>
      <c r="H37" s="27">
        <f t="shared" si="18"/>
        <v>103.93599999999998</v>
      </c>
      <c r="I37" s="27">
        <f t="shared" si="18"/>
        <v>92.972000000000008</v>
      </c>
      <c r="J37" s="27">
        <f t="shared" si="18"/>
        <v>53.117000000000004</v>
      </c>
      <c r="K37" s="27">
        <f t="shared" si="18"/>
        <v>-8.6259999999999977</v>
      </c>
      <c r="L37" s="27">
        <f t="shared" ref="L37:N37" si="19">+L35+L36</f>
        <v>78.029999999999987</v>
      </c>
      <c r="M37" s="27">
        <f t="shared" si="19"/>
        <v>55.567000000000007</v>
      </c>
      <c r="N37" s="27">
        <f t="shared" si="19"/>
        <v>-16.704999999999998</v>
      </c>
    </row>
    <row r="39" spans="1:16" s="35" customFormat="1">
      <c r="A39" s="34" t="s">
        <v>70</v>
      </c>
      <c r="B39" s="20">
        <v>0</v>
      </c>
      <c r="C39" s="20">
        <v>0</v>
      </c>
      <c r="D39" s="20">
        <v>0</v>
      </c>
      <c r="E39" s="20">
        <v>0</v>
      </c>
      <c r="F39" s="20">
        <v>50</v>
      </c>
      <c r="G39" s="20">
        <v>100</v>
      </c>
      <c r="H39" s="20">
        <v>0</v>
      </c>
      <c r="I39" s="20">
        <v>0</v>
      </c>
      <c r="J39" s="20">
        <v>110</v>
      </c>
      <c r="K39" s="20"/>
      <c r="L39" s="20"/>
      <c r="M39" s="20"/>
      <c r="N39" s="20"/>
      <c r="P39" s="33"/>
    </row>
    <row r="40" spans="1:16" s="35" customFormat="1">
      <c r="A40" s="34" t="s">
        <v>71</v>
      </c>
      <c r="B40" s="20">
        <f>440+54</f>
        <v>494</v>
      </c>
      <c r="C40" s="20">
        <f>441+52</f>
        <v>493</v>
      </c>
      <c r="D40" s="20">
        <f>443+53</f>
        <v>496</v>
      </c>
      <c r="E40" s="20">
        <f>544.75+56</f>
        <v>600.75</v>
      </c>
      <c r="F40" s="20">
        <f>647+1+60</f>
        <v>708</v>
      </c>
      <c r="G40" s="20">
        <f>648+1+65</f>
        <v>714</v>
      </c>
      <c r="H40" s="20">
        <f>650+2+70</f>
        <v>722</v>
      </c>
      <c r="I40" s="20">
        <f>700+1.963+22.555+52.746</f>
        <v>777.2639999999999</v>
      </c>
      <c r="J40" s="20">
        <f>700+81</f>
        <v>781</v>
      </c>
      <c r="K40" s="20"/>
      <c r="L40" s="20"/>
      <c r="M40" s="20"/>
      <c r="N40" s="20"/>
      <c r="P40" s="33"/>
    </row>
    <row r="41" spans="1:16" s="35" customFormat="1">
      <c r="A41" s="34" t="s">
        <v>72</v>
      </c>
      <c r="B41" s="20">
        <f>B39+B40+350</f>
        <v>844</v>
      </c>
      <c r="C41" s="20">
        <f>C39+C40+350</f>
        <v>843</v>
      </c>
      <c r="D41" s="20">
        <f>D39+D40+350</f>
        <v>846</v>
      </c>
      <c r="E41" s="20">
        <f t="shared" ref="E41:J41" si="20">E39+E40+350</f>
        <v>950.75</v>
      </c>
      <c r="F41" s="20">
        <f t="shared" si="20"/>
        <v>1108</v>
      </c>
      <c r="G41" s="20">
        <f t="shared" si="20"/>
        <v>1164</v>
      </c>
      <c r="H41" s="20">
        <f t="shared" si="20"/>
        <v>1072</v>
      </c>
      <c r="I41" s="20">
        <f t="shared" si="20"/>
        <v>1127.2639999999999</v>
      </c>
      <c r="J41" s="20">
        <f t="shared" si="20"/>
        <v>1241</v>
      </c>
      <c r="K41" s="20"/>
      <c r="L41" s="20"/>
      <c r="M41" s="20"/>
      <c r="N41" s="20"/>
      <c r="P41" s="33"/>
    </row>
    <row r="42" spans="1:16" s="35" customFormat="1">
      <c r="A42" s="34" t="s">
        <v>73</v>
      </c>
      <c r="B42" s="36">
        <f>70561388/1000000*120.54</f>
        <v>8505.469709519999</v>
      </c>
      <c r="C42" s="36">
        <f>71591660/1000000*109.76</f>
        <v>7857.9006016000012</v>
      </c>
      <c r="D42" s="36">
        <f>70877367/1000000*82.48</f>
        <v>5845.9652301600008</v>
      </c>
      <c r="E42" s="36">
        <f>70476774/1000000*65.49</f>
        <v>4615.5239292599999</v>
      </c>
      <c r="F42" s="36">
        <f>69546442/1000000*49.66</f>
        <v>3453.6763097199996</v>
      </c>
      <c r="G42" s="36">
        <f>69338180/1000000*39.96</f>
        <v>2770.7536728</v>
      </c>
      <c r="H42" s="36">
        <f>68785918/1000000*42.78</f>
        <v>2942.66157204</v>
      </c>
      <c r="I42" s="36">
        <f>68272550/1000000*39.77</f>
        <v>2715.1993135000002</v>
      </c>
      <c r="J42" s="36">
        <v>2735</v>
      </c>
      <c r="K42" s="36"/>
      <c r="L42" s="36"/>
      <c r="M42" s="36"/>
      <c r="N42" s="36"/>
    </row>
    <row r="43" spans="1:16">
      <c r="B43" s="35"/>
      <c r="C43" s="35"/>
      <c r="D43" s="35"/>
      <c r="E43" s="35"/>
      <c r="F43" s="35"/>
      <c r="G43" s="35"/>
      <c r="H43" s="35"/>
      <c r="I43" s="35"/>
      <c r="J43" s="35"/>
      <c r="K43" s="35"/>
      <c r="L43" s="35"/>
    </row>
    <row r="44" spans="1:16">
      <c r="A44" s="19" t="s">
        <v>74</v>
      </c>
      <c r="B44" s="28">
        <v>142.833</v>
      </c>
      <c r="C44" s="28">
        <v>195.00899999999999</v>
      </c>
      <c r="D44" s="28">
        <v>223.99600000000001</v>
      </c>
      <c r="E44" s="28">
        <v>203.88300000000001</v>
      </c>
      <c r="F44" s="28">
        <v>235.21</v>
      </c>
      <c r="G44" s="28">
        <v>174.233</v>
      </c>
      <c r="H44" s="28">
        <v>98.311999999999998</v>
      </c>
      <c r="I44" s="28">
        <v>54.207000000000001</v>
      </c>
      <c r="J44" s="28">
        <v>58</v>
      </c>
      <c r="K44" s="28"/>
      <c r="L44" s="28"/>
      <c r="M44" s="28"/>
      <c r="N44" s="28"/>
    </row>
    <row r="46" spans="1:16">
      <c r="A46" s="14" t="s">
        <v>75</v>
      </c>
      <c r="B46" s="58">
        <f t="shared" ref="B46:G46" si="21">SUM(B12:E12)</f>
        <v>2143.4409999999998</v>
      </c>
      <c r="C46" s="58">
        <f t="shared" si="21"/>
        <v>1982.7800000000002</v>
      </c>
      <c r="D46" s="58">
        <f t="shared" si="21"/>
        <v>1909.739</v>
      </c>
      <c r="E46" s="58">
        <f t="shared" si="21"/>
        <v>1817.018</v>
      </c>
      <c r="F46" s="58">
        <f t="shared" si="21"/>
        <v>1768.7360000000001</v>
      </c>
      <c r="G46" s="58">
        <f t="shared" si="21"/>
        <v>1673.8050000000001</v>
      </c>
      <c r="H46" s="58">
        <f>I46+H12-L12</f>
        <v>1807.6609999999994</v>
      </c>
      <c r="I46" s="58">
        <f>J46+I12-M12</f>
        <v>1732.3499999999997</v>
      </c>
      <c r="J46" s="51">
        <v>1643</v>
      </c>
      <c r="K46" s="33"/>
      <c r="L46" s="33"/>
      <c r="M46" s="33"/>
      <c r="N46" s="33"/>
    </row>
    <row r="47" spans="1:16">
      <c r="A47" s="14" t="s">
        <v>76</v>
      </c>
      <c r="B47" s="58">
        <f t="shared" ref="B47:C47" si="22">B27</f>
        <v>584.30583333333334</v>
      </c>
      <c r="C47" s="58">
        <f t="shared" si="22"/>
        <v>589.0827272727272</v>
      </c>
      <c r="D47" s="58">
        <f t="shared" ref="D47:I47" si="23">D27</f>
        <v>565.45818181818174</v>
      </c>
      <c r="E47" s="58">
        <f t="shared" si="23"/>
        <v>497.91133333333329</v>
      </c>
      <c r="F47" s="58">
        <f t="shared" si="23"/>
        <v>459.36315789473684</v>
      </c>
      <c r="G47" s="58">
        <f t="shared" si="23"/>
        <v>395.90680000000003</v>
      </c>
      <c r="H47" s="58">
        <f t="shared" si="23"/>
        <v>389.47519999999997</v>
      </c>
      <c r="I47" s="58">
        <f t="shared" si="23"/>
        <v>374.82899999999995</v>
      </c>
      <c r="J47" s="51">
        <v>357</v>
      </c>
      <c r="K47" s="33"/>
      <c r="L47" s="33"/>
      <c r="M47" s="33"/>
      <c r="N47" s="33"/>
    </row>
    <row r="48" spans="1:16">
      <c r="A48" s="14" t="s">
        <v>77</v>
      </c>
      <c r="B48" s="58">
        <f t="shared" ref="B48:I48" si="24">C48+B37-F37</f>
        <v>363.34682999999995</v>
      </c>
      <c r="C48" s="58">
        <f t="shared" si="24"/>
        <v>407.98282999999998</v>
      </c>
      <c r="D48" s="58">
        <f t="shared" si="24"/>
        <v>414.11183</v>
      </c>
      <c r="E48" s="58">
        <f t="shared" si="24"/>
        <v>384.15583000000004</v>
      </c>
      <c r="F48" s="58">
        <f t="shared" si="24"/>
        <v>343.35683</v>
      </c>
      <c r="G48" s="58">
        <f t="shared" si="24"/>
        <v>273.03583000000003</v>
      </c>
      <c r="H48" s="58">
        <f t="shared" si="24"/>
        <v>275.92283000000003</v>
      </c>
      <c r="I48" s="58">
        <f t="shared" si="24"/>
        <v>250.01683000000003</v>
      </c>
      <c r="J48" s="51">
        <v>212.61183</v>
      </c>
      <c r="K48" s="33"/>
      <c r="L48" s="33"/>
      <c r="M48" s="33"/>
      <c r="N48" s="33"/>
    </row>
    <row r="50" spans="1:14" s="37" customFormat="1">
      <c r="A50" s="37" t="s">
        <v>78</v>
      </c>
      <c r="B50" s="37">
        <f t="shared" ref="B50" si="25">+SUM(B39:B40)/B47</f>
        <v>0.8454476608283048</v>
      </c>
      <c r="C50" s="37">
        <f t="shared" ref="C50:D50" si="26">+SUM(C39:C40)/C47</f>
        <v>0.83689433958187698</v>
      </c>
      <c r="D50" s="37">
        <f t="shared" si="26"/>
        <v>0.87716477707538865</v>
      </c>
      <c r="E50" s="37">
        <f t="shared" ref="E50:J50" si="27">+SUM(E39:E40)/E47</f>
        <v>1.2065401202623762</v>
      </c>
      <c r="F50" s="37">
        <f t="shared" si="27"/>
        <v>1.6501105649698093</v>
      </c>
      <c r="G50" s="37">
        <f t="shared" si="27"/>
        <v>2.0560394517093417</v>
      </c>
      <c r="H50" s="37">
        <f t="shared" si="27"/>
        <v>1.8537765690857853</v>
      </c>
      <c r="I50" s="37">
        <f t="shared" si="27"/>
        <v>2.0736495842104001</v>
      </c>
      <c r="J50" s="37">
        <f t="shared" si="27"/>
        <v>2.4957983193277311</v>
      </c>
    </row>
    <row r="51" spans="1:14" s="37" customFormat="1">
      <c r="A51" s="37" t="s">
        <v>79</v>
      </c>
      <c r="B51" s="37">
        <f t="shared" ref="B51" si="28">+B41/B47</f>
        <v>1.4444490399576706</v>
      </c>
      <c r="C51" s="37">
        <f t="shared" ref="C51:D51" si="29">+C41/C47</f>
        <v>1.4310383940517695</v>
      </c>
      <c r="D51" s="37">
        <f t="shared" si="29"/>
        <v>1.4961318576729412</v>
      </c>
      <c r="E51" s="37">
        <f t="shared" ref="E51:J51" si="30">+E41/E47</f>
        <v>1.9094765199158621</v>
      </c>
      <c r="F51" s="37">
        <f t="shared" si="30"/>
        <v>2.4120349683199853</v>
      </c>
      <c r="G51" s="37">
        <f t="shared" si="30"/>
        <v>2.9400858990045129</v>
      </c>
      <c r="H51" s="37">
        <f t="shared" si="30"/>
        <v>2.7524217203046564</v>
      </c>
      <c r="I51" s="37">
        <f t="shared" si="30"/>
        <v>3.0074087117058714</v>
      </c>
      <c r="J51" s="37">
        <f t="shared" si="30"/>
        <v>3.4761904761904763</v>
      </c>
    </row>
    <row r="52" spans="1:14" s="37" customFormat="1">
      <c r="A52" s="37" t="s">
        <v>80</v>
      </c>
      <c r="B52" s="37">
        <f t="shared" ref="B52" si="31">+(B41-B44)/B47</f>
        <v>1.2</v>
      </c>
      <c r="C52" s="37">
        <f t="shared" ref="C52:D52" si="32">+(C41-C44)/C47</f>
        <v>1.1000000000000001</v>
      </c>
      <c r="D52" s="37">
        <f t="shared" si="32"/>
        <v>1.1000000000000001</v>
      </c>
      <c r="E52" s="37">
        <f t="shared" ref="E52:J52" si="33">+(E41-E44)/E47</f>
        <v>1.5</v>
      </c>
      <c r="F52" s="37">
        <f t="shared" si="33"/>
        <v>1.9</v>
      </c>
      <c r="G52" s="37">
        <f t="shared" si="33"/>
        <v>2.5</v>
      </c>
      <c r="H52" s="37">
        <f t="shared" si="33"/>
        <v>2.5</v>
      </c>
      <c r="I52" s="37">
        <f t="shared" si="33"/>
        <v>2.8627907659225937</v>
      </c>
      <c r="J52" s="37">
        <f t="shared" si="33"/>
        <v>3.3137254901960786</v>
      </c>
    </row>
    <row r="53" spans="1:14" s="38" customFormat="1">
      <c r="A53" s="38" t="s">
        <v>81</v>
      </c>
      <c r="B53" s="38">
        <f t="shared" ref="B53" si="34">+B48/B41</f>
        <v>0.4305057227488151</v>
      </c>
      <c r="C53" s="38">
        <f t="shared" ref="C53:D53" si="35">+C48/C41</f>
        <v>0.48396539739027283</v>
      </c>
      <c r="D53" s="38">
        <f t="shared" si="35"/>
        <v>0.4894938888888889</v>
      </c>
      <c r="E53" s="38">
        <f t="shared" ref="E53:J53" si="36">+E48/E41</f>
        <v>0.40405556665790171</v>
      </c>
      <c r="F53" s="38">
        <f t="shared" si="36"/>
        <v>0.3098888357400722</v>
      </c>
      <c r="G53" s="38">
        <f t="shared" si="36"/>
        <v>0.23456686426116841</v>
      </c>
      <c r="H53" s="38">
        <f t="shared" si="36"/>
        <v>0.25739069962686573</v>
      </c>
      <c r="I53" s="38">
        <f t="shared" si="36"/>
        <v>0.22179084047747472</v>
      </c>
      <c r="J53" s="38">
        <f t="shared" si="36"/>
        <v>0.17132298952457695</v>
      </c>
    </row>
    <row r="54" spans="1:14" s="38" customFormat="1">
      <c r="A54" s="39" t="s">
        <v>82</v>
      </c>
      <c r="B54" s="40"/>
      <c r="C54" s="40"/>
      <c r="D54" s="40"/>
      <c r="E54" s="40"/>
      <c r="F54" s="40"/>
      <c r="G54" s="40"/>
      <c r="H54" s="40"/>
      <c r="I54" s="40"/>
      <c r="J54" s="40"/>
      <c r="K54" s="40"/>
      <c r="L54" s="40"/>
      <c r="M54" s="40"/>
      <c r="N54" s="40"/>
    </row>
    <row r="55" spans="1:14" s="38" customFormat="1">
      <c r="A55" s="38" t="s">
        <v>83</v>
      </c>
      <c r="B55" s="41">
        <f t="shared" ref="B55" si="37">IF(B42=0,IF(B54="","","*"&amp;TEXT(B54,"0.0x")),(B41+B42-B44)/B47)</f>
        <v>15.756537388987214</v>
      </c>
      <c r="C55" s="41">
        <f t="shared" ref="C55:D55" si="38">IF(C42=0,IF(C54="","","*"&amp;TEXT(C54,"0.0x")),(C41+C42-C44)/C47)</f>
        <v>14.439214065874378</v>
      </c>
      <c r="D55" s="41">
        <f t="shared" si="38"/>
        <v>11.438457233676957</v>
      </c>
      <c r="E55" s="41">
        <f t="shared" ref="E55:J55" si="39">IF(E42=0,IF(E54="","","*"&amp;TEXT(E54,"0.0x")),(E41+E42-E44)/E47)</f>
        <v>10.769770780995815</v>
      </c>
      <c r="F55" s="41">
        <f t="shared" si="39"/>
        <v>9.4184007475658529</v>
      </c>
      <c r="G55" s="41">
        <f t="shared" si="39"/>
        <v>9.4984998307682496</v>
      </c>
      <c r="H55" s="41">
        <f t="shared" si="39"/>
        <v>10.055453009690991</v>
      </c>
      <c r="I55" s="41">
        <f t="shared" si="39"/>
        <v>10.106625457208489</v>
      </c>
      <c r="J55" s="41">
        <f t="shared" si="39"/>
        <v>10.974789915966387</v>
      </c>
      <c r="K55" s="41"/>
      <c r="L55" s="41"/>
      <c r="M55" s="41"/>
      <c r="N55" s="41"/>
    </row>
    <row r="56" spans="1:14">
      <c r="N56" s="42"/>
    </row>
    <row r="57" spans="1:14" ht="80.25" customHeight="1">
      <c r="A57" s="43" t="s">
        <v>84</v>
      </c>
      <c r="B57" s="44" t="s">
        <v>531</v>
      </c>
      <c r="C57" s="44" t="s">
        <v>558</v>
      </c>
      <c r="D57" s="44" t="s">
        <v>531</v>
      </c>
      <c r="E57" s="44" t="s">
        <v>531</v>
      </c>
      <c r="F57" s="44" t="s">
        <v>531</v>
      </c>
      <c r="G57" s="44" t="s">
        <v>558</v>
      </c>
      <c r="H57" s="44" t="s">
        <v>531</v>
      </c>
      <c r="I57" s="44" t="s">
        <v>531</v>
      </c>
      <c r="J57" s="44" t="s">
        <v>90</v>
      </c>
      <c r="K57" s="44"/>
      <c r="L57" s="44"/>
      <c r="M57" s="44"/>
      <c r="N57" s="44"/>
    </row>
    <row r="58" spans="1:14">
      <c r="A58" s="45"/>
      <c r="B58" s="42"/>
      <c r="C58" s="42"/>
      <c r="D58" s="42"/>
      <c r="E58" s="42"/>
      <c r="F58" s="42"/>
      <c r="G58" s="42"/>
      <c r="H58" s="42"/>
      <c r="I58" s="42"/>
      <c r="J58" s="42"/>
    </row>
    <row r="59" spans="1:14">
      <c r="A59" s="45"/>
    </row>
  </sheetData>
  <pageMargins left="0.7" right="0.7" top="0.75" bottom="0.75" header="0.3" footer="0.3"/>
  <pageSetup orientation="portrait" r:id="rId1"/>
  <legacyDrawing r:id="rId2"/>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2:O59"/>
  <sheetViews>
    <sheetView showGridLines="0" zoomScaleNormal="100" workbookViewId="0">
      <pane xSplit="1" ySplit="10" topLeftCell="B11" activePane="bottomRight" state="frozen"/>
      <selection activeCell="B8" sqref="B8"/>
      <selection pane="topRight" activeCell="B8" sqref="B8"/>
      <selection pane="bottomLeft" activeCell="B8" sqref="B8"/>
      <selection pane="bottomRight" activeCell="B11" sqref="B11"/>
    </sheetView>
  </sheetViews>
  <sheetFormatPr defaultColWidth="9.109375" defaultRowHeight="13.8"/>
  <cols>
    <col min="1" max="1" width="22.6640625" style="14" customWidth="1"/>
    <col min="2" max="13" width="10.6640625" style="14" customWidth="1"/>
    <col min="14" max="16384" width="9.109375" style="14"/>
  </cols>
  <sheetData>
    <row r="2" spans="1:15">
      <c r="A2" s="13" t="s">
        <v>44</v>
      </c>
      <c r="B2" s="14" t="s">
        <v>503</v>
      </c>
    </row>
    <row r="3" spans="1:15" s="16" customFormat="1">
      <c r="A3" s="15" t="s">
        <v>45</v>
      </c>
      <c r="B3" s="16" t="s">
        <v>507</v>
      </c>
    </row>
    <row r="4" spans="1:15">
      <c r="A4" s="13" t="s">
        <v>2</v>
      </c>
      <c r="B4" s="14" t="s">
        <v>4</v>
      </c>
    </row>
    <row r="5" spans="1:15">
      <c r="A5" s="13" t="s">
        <v>46</v>
      </c>
    </row>
    <row r="6" spans="1:15">
      <c r="A6" s="13" t="s">
        <v>47</v>
      </c>
      <c r="B6" s="14">
        <v>2</v>
      </c>
    </row>
    <row r="7" spans="1:15">
      <c r="A7" s="13" t="s">
        <v>48</v>
      </c>
      <c r="B7" s="14" t="s">
        <v>506</v>
      </c>
    </row>
    <row r="8" spans="1:15">
      <c r="A8" s="13" t="s">
        <v>347</v>
      </c>
      <c r="B8" s="14" t="s">
        <v>505</v>
      </c>
    </row>
    <row r="9" spans="1:15">
      <c r="A9" s="17"/>
    </row>
    <row r="10" spans="1:15">
      <c r="A10" s="17" t="s">
        <v>49</v>
      </c>
      <c r="B10" s="18">
        <v>44377</v>
      </c>
      <c r="C10" s="18">
        <v>44286</v>
      </c>
      <c r="D10" s="18">
        <v>44196</v>
      </c>
      <c r="E10" s="18">
        <v>44104</v>
      </c>
      <c r="F10" s="18">
        <v>44012</v>
      </c>
      <c r="G10" s="18">
        <v>43921</v>
      </c>
      <c r="H10" s="18">
        <v>43830</v>
      </c>
      <c r="I10" s="18">
        <v>43738</v>
      </c>
      <c r="J10" s="18">
        <v>43646</v>
      </c>
      <c r="K10" s="18">
        <f>EOMONTH(J10,-3)</f>
        <v>43555</v>
      </c>
      <c r="L10" s="18">
        <f t="shared" ref="L10:M10" si="0">EOMONTH(K10,-3)</f>
        <v>43465</v>
      </c>
      <c r="M10" s="18">
        <f t="shared" si="0"/>
        <v>43373</v>
      </c>
    </row>
    <row r="12" spans="1:15">
      <c r="A12" s="19" t="s">
        <v>50</v>
      </c>
      <c r="B12" s="20">
        <v>978</v>
      </c>
      <c r="C12" s="20">
        <v>803</v>
      </c>
      <c r="D12" s="20">
        <f>3587-E12-F12-G12</f>
        <v>882</v>
      </c>
      <c r="E12" s="20">
        <v>958</v>
      </c>
      <c r="F12" s="20">
        <v>889</v>
      </c>
      <c r="G12" s="20">
        <v>858</v>
      </c>
      <c r="H12" s="20">
        <f>985+3107-I12-J12-K12</f>
        <v>985</v>
      </c>
      <c r="I12" s="20">
        <v>1118</v>
      </c>
      <c r="J12" s="20">
        <v>1067</v>
      </c>
      <c r="K12" s="20">
        <v>922</v>
      </c>
      <c r="L12" s="20"/>
      <c r="M12" s="20">
        <v>1009.586</v>
      </c>
    </row>
    <row r="13" spans="1:15" s="21" customFormat="1">
      <c r="A13" s="21" t="s">
        <v>51</v>
      </c>
      <c r="B13" s="21">
        <f t="shared" ref="B13:G13" si="1">+B12/F12-1</f>
        <v>0.1001124859392577</v>
      </c>
      <c r="C13" s="21">
        <f t="shared" si="1"/>
        <v>-6.4102564102564097E-2</v>
      </c>
      <c r="D13" s="21">
        <f t="shared" si="1"/>
        <v>-0.10456852791878168</v>
      </c>
      <c r="E13" s="21">
        <f t="shared" si="1"/>
        <v>-0.14311270125223619</v>
      </c>
      <c r="F13" s="21">
        <f t="shared" si="1"/>
        <v>-0.16682286785379574</v>
      </c>
      <c r="G13" s="21">
        <f t="shared" si="1"/>
        <v>-6.9414316702819945E-2</v>
      </c>
      <c r="I13" s="21">
        <f>+I12/M12-1</f>
        <v>0.10738461111782449</v>
      </c>
      <c r="O13" s="38"/>
    </row>
    <row r="14" spans="1:15" s="24" customFormat="1">
      <c r="A14" s="22" t="s">
        <v>52</v>
      </c>
      <c r="B14" s="66">
        <f>+B12/849-1</f>
        <v>0.15194346289752647</v>
      </c>
      <c r="C14" s="66" t="s">
        <v>3</v>
      </c>
      <c r="D14" s="66" t="s">
        <v>3</v>
      </c>
      <c r="E14" s="66" t="s">
        <v>3</v>
      </c>
      <c r="F14" s="66" t="s">
        <v>3</v>
      </c>
      <c r="G14" s="66">
        <v>-4.7E-2</v>
      </c>
      <c r="H14" s="66"/>
      <c r="I14" s="66">
        <v>0.10299999999999999</v>
      </c>
      <c r="J14" s="23"/>
      <c r="K14" s="23"/>
      <c r="L14" s="23"/>
      <c r="M14" s="23"/>
    </row>
    <row r="16" spans="1:15" s="17" customFormat="1">
      <c r="A16" s="25" t="s">
        <v>53</v>
      </c>
      <c r="B16" s="26">
        <v>106</v>
      </c>
      <c r="C16" s="26">
        <v>61</v>
      </c>
      <c r="D16" s="26">
        <v>103</v>
      </c>
      <c r="E16" s="26">
        <v>115</v>
      </c>
      <c r="F16" s="26">
        <v>101</v>
      </c>
      <c r="G16" s="26">
        <v>61</v>
      </c>
      <c r="H16" s="26">
        <v>109</v>
      </c>
      <c r="I16" s="26">
        <v>128</v>
      </c>
      <c r="J16" s="26">
        <v>99</v>
      </c>
      <c r="K16" s="26">
        <v>59</v>
      </c>
      <c r="L16" s="26"/>
      <c r="M16" s="26">
        <v>111.39400000000001</v>
      </c>
      <c r="N16" s="107"/>
    </row>
    <row r="17" spans="1:14" s="21" customFormat="1">
      <c r="A17" s="21" t="s">
        <v>54</v>
      </c>
      <c r="B17" s="21">
        <f t="shared" ref="B17:C17" si="2">+B16/B12</f>
        <v>0.10838445807770961</v>
      </c>
      <c r="C17" s="21">
        <f t="shared" si="2"/>
        <v>7.5965130759651306E-2</v>
      </c>
      <c r="D17" s="21">
        <f t="shared" ref="D17:K17" si="3">+D16/D12</f>
        <v>0.11678004535147392</v>
      </c>
      <c r="E17" s="21">
        <f t="shared" si="3"/>
        <v>0.12004175365344467</v>
      </c>
      <c r="F17" s="21">
        <f>+F16/F12</f>
        <v>0.11361079865016872</v>
      </c>
      <c r="G17" s="21">
        <f t="shared" si="3"/>
        <v>7.1095571095571089E-2</v>
      </c>
      <c r="H17" s="21">
        <f t="shared" si="3"/>
        <v>0.11065989847715736</v>
      </c>
      <c r="I17" s="21">
        <f t="shared" si="3"/>
        <v>0.11449016100178891</v>
      </c>
      <c r="J17" s="21">
        <f t="shared" si="3"/>
        <v>9.2783505154639179E-2</v>
      </c>
      <c r="K17" s="21">
        <f t="shared" si="3"/>
        <v>6.3991323210412149E-2</v>
      </c>
      <c r="M17" s="21">
        <f t="shared" ref="M17" si="4">+M16/M12</f>
        <v>0.11033631607411355</v>
      </c>
      <c r="N17" s="91"/>
    </row>
    <row r="18" spans="1:14" s="24" customFormat="1">
      <c r="N18" s="92"/>
    </row>
    <row r="19" spans="1:14" s="24" customFormat="1">
      <c r="A19" s="19" t="s">
        <v>55</v>
      </c>
      <c r="B19" s="20">
        <v>0</v>
      </c>
      <c r="C19" s="20">
        <v>0</v>
      </c>
      <c r="D19" s="20">
        <v>0</v>
      </c>
      <c r="E19" s="20">
        <v>0</v>
      </c>
      <c r="F19" s="20">
        <v>0</v>
      </c>
      <c r="G19" s="20">
        <v>0</v>
      </c>
      <c r="H19" s="20">
        <v>0</v>
      </c>
      <c r="I19" s="20">
        <v>0</v>
      </c>
      <c r="J19" s="20">
        <v>0</v>
      </c>
      <c r="K19" s="20">
        <v>0</v>
      </c>
      <c r="L19" s="20"/>
      <c r="M19" s="20">
        <v>0</v>
      </c>
      <c r="N19" s="92"/>
    </row>
    <row r="20" spans="1:14" s="24" customFormat="1">
      <c r="A20" s="19" t="s">
        <v>56</v>
      </c>
      <c r="B20" s="20">
        <v>0</v>
      </c>
      <c r="C20" s="20">
        <v>0</v>
      </c>
      <c r="D20" s="20">
        <v>0</v>
      </c>
      <c r="E20" s="20">
        <v>0</v>
      </c>
      <c r="F20" s="20">
        <v>0</v>
      </c>
      <c r="G20" s="20">
        <v>0</v>
      </c>
      <c r="H20" s="20">
        <v>0</v>
      </c>
      <c r="I20" s="20">
        <v>0</v>
      </c>
      <c r="J20" s="20">
        <v>0</v>
      </c>
      <c r="K20" s="20">
        <v>0</v>
      </c>
      <c r="L20" s="20"/>
      <c r="M20" s="20">
        <v>0</v>
      </c>
      <c r="N20" s="92"/>
    </row>
    <row r="21" spans="1:14" s="24" customFormat="1">
      <c r="A21" s="19" t="s">
        <v>57</v>
      </c>
      <c r="B21" s="20">
        <v>0</v>
      </c>
      <c r="C21" s="20">
        <v>0</v>
      </c>
      <c r="D21" s="20">
        <v>0</v>
      </c>
      <c r="E21" s="20">
        <v>0</v>
      </c>
      <c r="F21" s="20">
        <v>0</v>
      </c>
      <c r="G21" s="20">
        <v>0</v>
      </c>
      <c r="H21" s="20">
        <v>0</v>
      </c>
      <c r="I21" s="20">
        <v>0</v>
      </c>
      <c r="J21" s="20">
        <v>0</v>
      </c>
      <c r="K21" s="20">
        <v>0</v>
      </c>
      <c r="L21" s="20"/>
      <c r="M21" s="20">
        <v>0</v>
      </c>
      <c r="N21" s="92"/>
    </row>
    <row r="22" spans="1:14" s="17" customFormat="1">
      <c r="A22" s="17" t="s">
        <v>58</v>
      </c>
      <c r="B22" s="27">
        <f t="shared" ref="B22:C22" si="5">SUM(B16,B19:B21)</f>
        <v>106</v>
      </c>
      <c r="C22" s="27">
        <f t="shared" si="5"/>
        <v>61</v>
      </c>
      <c r="D22" s="27">
        <f t="shared" ref="D22:K22" si="6">SUM(D16,D19:D21)</f>
        <v>103</v>
      </c>
      <c r="E22" s="27">
        <f t="shared" si="6"/>
        <v>115</v>
      </c>
      <c r="F22" s="27">
        <f t="shared" si="6"/>
        <v>101</v>
      </c>
      <c r="G22" s="27">
        <f t="shared" si="6"/>
        <v>61</v>
      </c>
      <c r="H22" s="27">
        <f t="shared" si="6"/>
        <v>109</v>
      </c>
      <c r="I22" s="27">
        <f t="shared" si="6"/>
        <v>128</v>
      </c>
      <c r="J22" s="27">
        <f t="shared" si="6"/>
        <v>99</v>
      </c>
      <c r="K22" s="27">
        <f t="shared" si="6"/>
        <v>59</v>
      </c>
      <c r="L22" s="27"/>
      <c r="M22" s="27">
        <f t="shared" ref="M22" si="7">SUM(M16,M19:M21)</f>
        <v>111.39400000000001</v>
      </c>
      <c r="N22" s="107"/>
    </row>
    <row r="23" spans="1:14" s="17" customFormat="1">
      <c r="B23" s="21"/>
      <c r="C23" s="21"/>
      <c r="D23" s="21"/>
      <c r="E23" s="21"/>
      <c r="F23" s="27"/>
      <c r="G23" s="27"/>
      <c r="H23" s="27"/>
      <c r="I23" s="27"/>
      <c r="J23" s="27"/>
      <c r="K23" s="27"/>
      <c r="L23" s="27"/>
      <c r="M23" s="27"/>
      <c r="N23" s="107"/>
    </row>
    <row r="24" spans="1:14" s="17" customFormat="1">
      <c r="A24" s="17" t="s">
        <v>59</v>
      </c>
      <c r="B24" s="65">
        <f t="shared" ref="B24:G24" si="8">SUM(B22:E22)</f>
        <v>385</v>
      </c>
      <c r="C24" s="65">
        <f t="shared" si="8"/>
        <v>380</v>
      </c>
      <c r="D24" s="65">
        <f t="shared" si="8"/>
        <v>380</v>
      </c>
      <c r="E24" s="65">
        <f t="shared" si="8"/>
        <v>386</v>
      </c>
      <c r="F24" s="65">
        <f t="shared" si="8"/>
        <v>399</v>
      </c>
      <c r="G24" s="65">
        <f t="shared" si="8"/>
        <v>397</v>
      </c>
      <c r="H24" s="46">
        <v>390.64382999999998</v>
      </c>
      <c r="I24" s="46">
        <f>J47+I22-M22</f>
        <v>380.60599999999999</v>
      </c>
      <c r="J24" s="27"/>
      <c r="K24" s="27"/>
      <c r="L24" s="27"/>
      <c r="M24" s="27"/>
      <c r="N24" s="107"/>
    </row>
    <row r="25" spans="1:14" s="24" customFormat="1">
      <c r="A25" s="19" t="s">
        <v>60</v>
      </c>
      <c r="B25" s="28">
        <v>0</v>
      </c>
      <c r="C25" s="28">
        <v>0</v>
      </c>
      <c r="D25" s="28">
        <f>381-D24</f>
        <v>1</v>
      </c>
      <c r="E25" s="28">
        <v>0</v>
      </c>
      <c r="F25" s="28">
        <v>0</v>
      </c>
      <c r="G25" s="28">
        <v>0</v>
      </c>
      <c r="H25" s="28">
        <v>0</v>
      </c>
      <c r="I25" s="28">
        <v>0</v>
      </c>
      <c r="J25" s="28"/>
      <c r="K25" s="28"/>
      <c r="L25" s="28"/>
      <c r="M25" s="28"/>
      <c r="N25" s="92"/>
    </row>
    <row r="26" spans="1:14" s="24" customFormat="1">
      <c r="A26" s="19" t="s">
        <v>61</v>
      </c>
      <c r="B26" s="29">
        <v>0</v>
      </c>
      <c r="C26" s="29">
        <v>0</v>
      </c>
      <c r="D26" s="29">
        <v>0</v>
      </c>
      <c r="E26" s="29">
        <v>0</v>
      </c>
      <c r="F26" s="29">
        <v>0</v>
      </c>
      <c r="G26" s="29">
        <v>0</v>
      </c>
      <c r="H26" s="29">
        <v>0</v>
      </c>
      <c r="I26" s="29">
        <v>0</v>
      </c>
      <c r="J26" s="29"/>
      <c r="K26" s="29"/>
      <c r="L26" s="29"/>
      <c r="M26" s="29"/>
      <c r="N26" s="92"/>
    </row>
    <row r="27" spans="1:14" s="32" customFormat="1">
      <c r="A27" s="17" t="s">
        <v>62</v>
      </c>
      <c r="B27" s="27">
        <f t="shared" ref="B27:C27" si="9">SUM(B24:B26)</f>
        <v>385</v>
      </c>
      <c r="C27" s="27">
        <f t="shared" si="9"/>
        <v>380</v>
      </c>
      <c r="D27" s="27">
        <f t="shared" ref="D27:I27" si="10">SUM(D24:D26)</f>
        <v>381</v>
      </c>
      <c r="E27" s="27">
        <f t="shared" si="10"/>
        <v>386</v>
      </c>
      <c r="F27" s="27">
        <f t="shared" si="10"/>
        <v>399</v>
      </c>
      <c r="G27" s="27">
        <f t="shared" si="10"/>
        <v>397</v>
      </c>
      <c r="H27" s="27">
        <f t="shared" si="10"/>
        <v>390.64382999999998</v>
      </c>
      <c r="I27" s="27">
        <f t="shared" si="10"/>
        <v>380.60599999999999</v>
      </c>
      <c r="J27" s="27"/>
      <c r="K27" s="27"/>
      <c r="L27" s="27"/>
      <c r="M27" s="27"/>
      <c r="N27" s="115"/>
    </row>
    <row r="28" spans="1:14" s="24" customFormat="1"/>
    <row r="29" spans="1:14" s="17" customFormat="1">
      <c r="A29" s="17" t="s">
        <v>58</v>
      </c>
      <c r="B29" s="27">
        <f t="shared" ref="B29:C29" si="11">B22</f>
        <v>106</v>
      </c>
      <c r="C29" s="27">
        <f t="shared" si="11"/>
        <v>61</v>
      </c>
      <c r="D29" s="27">
        <f t="shared" ref="D29:K29" si="12">D22</f>
        <v>103</v>
      </c>
      <c r="E29" s="27">
        <f t="shared" si="12"/>
        <v>115</v>
      </c>
      <c r="F29" s="27">
        <f t="shared" si="12"/>
        <v>101</v>
      </c>
      <c r="G29" s="27">
        <f t="shared" si="12"/>
        <v>61</v>
      </c>
      <c r="H29" s="27">
        <f t="shared" si="12"/>
        <v>109</v>
      </c>
      <c r="I29" s="27">
        <f t="shared" si="12"/>
        <v>128</v>
      </c>
      <c r="J29" s="27">
        <f t="shared" si="12"/>
        <v>99</v>
      </c>
      <c r="K29" s="27">
        <f t="shared" si="12"/>
        <v>59</v>
      </c>
      <c r="L29" s="27"/>
      <c r="M29" s="27"/>
    </row>
    <row r="30" spans="1:14" s="33" customFormat="1">
      <c r="A30" s="20" t="s">
        <v>63</v>
      </c>
      <c r="B30" s="20">
        <f>-22-C30</f>
        <v>-10</v>
      </c>
      <c r="C30" s="20">
        <v>-12</v>
      </c>
      <c r="D30" s="20">
        <f>-47-E30-F30-G30</f>
        <v>-10</v>
      </c>
      <c r="E30" s="20">
        <f>-37-F30-G30</f>
        <v>-12</v>
      </c>
      <c r="F30" s="20">
        <f>-25-G30</f>
        <v>-12</v>
      </c>
      <c r="G30" s="20">
        <v>-13</v>
      </c>
      <c r="H30" s="20">
        <f>-14-19-I30-J30-K30</f>
        <v>-14</v>
      </c>
      <c r="I30" s="20">
        <f>-19-J30-K30</f>
        <v>-7</v>
      </c>
      <c r="J30" s="20">
        <f>-12-K30</f>
        <v>-6</v>
      </c>
      <c r="K30" s="20">
        <v>-6</v>
      </c>
      <c r="L30" s="20"/>
      <c r="M30" s="20"/>
    </row>
    <row r="31" spans="1:14" s="33" customFormat="1">
      <c r="A31" s="20" t="s">
        <v>64</v>
      </c>
      <c r="B31" s="20">
        <f>-45-C31</f>
        <v>-43</v>
      </c>
      <c r="C31" s="20">
        <v>-2</v>
      </c>
      <c r="D31" s="20">
        <f>-29-E31-F31-G31</f>
        <v>-10</v>
      </c>
      <c r="E31" s="20">
        <f>-19-F31-G31</f>
        <v>-8</v>
      </c>
      <c r="F31" s="20">
        <f>-11-G31</f>
        <v>-3</v>
      </c>
      <c r="G31" s="20">
        <v>-8</v>
      </c>
      <c r="H31" s="20">
        <f>-3-7-I31-J31-K31</f>
        <v>-3</v>
      </c>
      <c r="I31" s="20">
        <f>-7-J31-K31</f>
        <v>-3</v>
      </c>
      <c r="J31" s="20">
        <f>-4-K31</f>
        <v>-2</v>
      </c>
      <c r="K31" s="20">
        <v>-2</v>
      </c>
      <c r="L31" s="20"/>
      <c r="M31" s="20"/>
    </row>
    <row r="32" spans="1:14" s="33" customFormat="1">
      <c r="A32" s="20" t="s">
        <v>65</v>
      </c>
      <c r="B32" s="20">
        <f>-24-42-5-2+30-54+13-53-C32</f>
        <v>-111</v>
      </c>
      <c r="C32" s="20">
        <f>44-11-2+5+17-71+2-10</f>
        <v>-26</v>
      </c>
      <c r="D32" s="20">
        <f>120+118+11-2-24+12+17-24-E32-F32-G32</f>
        <v>119</v>
      </c>
      <c r="E32" s="20">
        <f>93-27+1-19-14+46+57-28-F32-G32</f>
        <v>45</v>
      </c>
      <c r="F32" s="20">
        <f>78-1-3-28+2+44-28-G32</f>
        <v>49</v>
      </c>
      <c r="G32" s="20">
        <f>63-7-2+9-4-59+14+1</f>
        <v>15</v>
      </c>
      <c r="H32" s="20">
        <f>41+105+83-32-108-14+1-1-113-4-18+12+74+3-44-I32-J32-K32</f>
        <v>52</v>
      </c>
      <c r="I32" s="20">
        <f>-1-113-4-18+12+74+3-20-J32-K32</f>
        <v>12</v>
      </c>
      <c r="J32" s="20">
        <f>20-57-8-5-14-21+6-K32</f>
        <v>-60</v>
      </c>
      <c r="K32" s="20">
        <f>102-52-6-2-37-24-9+9</f>
        <v>-19</v>
      </c>
      <c r="L32" s="20"/>
      <c r="M32" s="20"/>
    </row>
    <row r="33" spans="1:15" s="33" customFormat="1">
      <c r="A33" s="20" t="s">
        <v>66</v>
      </c>
      <c r="B33" s="20">
        <v>0</v>
      </c>
      <c r="C33" s="20">
        <v>0</v>
      </c>
      <c r="D33" s="20">
        <v>0</v>
      </c>
      <c r="E33" s="20">
        <v>0</v>
      </c>
      <c r="F33" s="20">
        <v>0</v>
      </c>
      <c r="G33" s="20">
        <v>0</v>
      </c>
      <c r="H33" s="20">
        <v>0</v>
      </c>
      <c r="I33" s="20">
        <v>0</v>
      </c>
      <c r="J33" s="20">
        <v>0</v>
      </c>
      <c r="K33" s="20">
        <v>0</v>
      </c>
      <c r="L33" s="20"/>
      <c r="M33" s="20"/>
    </row>
    <row r="34" spans="1:15" s="33" customFormat="1">
      <c r="A34" s="20" t="s">
        <v>57</v>
      </c>
      <c r="B34" s="29">
        <v>0</v>
      </c>
      <c r="C34" s="29">
        <v>0</v>
      </c>
      <c r="D34" s="29">
        <v>0</v>
      </c>
      <c r="E34" s="29">
        <v>0</v>
      </c>
      <c r="F34" s="29">
        <v>0</v>
      </c>
      <c r="G34" s="29">
        <v>0</v>
      </c>
      <c r="H34" s="29">
        <v>0</v>
      </c>
      <c r="I34" s="29">
        <v>0</v>
      </c>
      <c r="J34" s="29">
        <v>0</v>
      </c>
      <c r="K34" s="29">
        <v>0</v>
      </c>
      <c r="L34" s="29"/>
      <c r="M34" s="29"/>
    </row>
    <row r="35" spans="1:15" s="27" customFormat="1">
      <c r="A35" s="27" t="s">
        <v>67</v>
      </c>
      <c r="B35" s="27">
        <f>19-C35</f>
        <v>-13</v>
      </c>
      <c r="C35" s="27">
        <v>32</v>
      </c>
      <c r="D35" s="27">
        <f>496-E35-F35-G35</f>
        <v>167</v>
      </c>
      <c r="E35" s="27">
        <f>329-F35-G35</f>
        <v>97</v>
      </c>
      <c r="F35" s="27">
        <f>232-G35</f>
        <v>177</v>
      </c>
      <c r="G35" s="27">
        <v>55</v>
      </c>
      <c r="H35" s="27">
        <f>150+145-I35-J35-K35</f>
        <v>150</v>
      </c>
      <c r="I35" s="27">
        <f>145-J35-K35</f>
        <v>92</v>
      </c>
      <c r="J35" s="27">
        <f>53-K35</f>
        <v>28</v>
      </c>
      <c r="K35" s="27">
        <v>25</v>
      </c>
    </row>
    <row r="36" spans="1:15" s="33" customFormat="1">
      <c r="A36" s="20" t="s">
        <v>68</v>
      </c>
      <c r="B36" s="29">
        <f>-34-C36</f>
        <v>-16</v>
      </c>
      <c r="C36" s="29">
        <v>-18</v>
      </c>
      <c r="D36" s="29">
        <f>-38-E36-F36-G36</f>
        <v>-14</v>
      </c>
      <c r="E36" s="29">
        <f>-24-F36-G36</f>
        <v>-7</v>
      </c>
      <c r="F36" s="29">
        <f>-17-G36</f>
        <v>-6</v>
      </c>
      <c r="G36" s="29">
        <v>-11</v>
      </c>
      <c r="H36" s="29">
        <f>-11-53-I36-J36-K36</f>
        <v>-11</v>
      </c>
      <c r="I36" s="29">
        <f>-53-J36-K36</f>
        <v>-13</v>
      </c>
      <c r="J36" s="29">
        <f>-40-K36</f>
        <v>-18</v>
      </c>
      <c r="K36" s="29">
        <v>-22</v>
      </c>
      <c r="L36" s="29"/>
      <c r="M36" s="29"/>
    </row>
    <row r="37" spans="1:15" s="27" customFormat="1">
      <c r="A37" s="27" t="s">
        <v>69</v>
      </c>
      <c r="B37" s="27">
        <f t="shared" ref="B37:K37" si="13">SUM(B35:B36)</f>
        <v>-29</v>
      </c>
      <c r="C37" s="27">
        <f t="shared" si="13"/>
        <v>14</v>
      </c>
      <c r="D37" s="27">
        <f t="shared" si="13"/>
        <v>153</v>
      </c>
      <c r="E37" s="27">
        <f t="shared" si="13"/>
        <v>90</v>
      </c>
      <c r="F37" s="27">
        <f t="shared" si="13"/>
        <v>171</v>
      </c>
      <c r="G37" s="27">
        <f t="shared" si="13"/>
        <v>44</v>
      </c>
      <c r="H37" s="27">
        <f t="shared" si="13"/>
        <v>139</v>
      </c>
      <c r="I37" s="27">
        <f t="shared" si="13"/>
        <v>79</v>
      </c>
      <c r="J37" s="27">
        <f t="shared" si="13"/>
        <v>10</v>
      </c>
      <c r="K37" s="27">
        <f t="shared" si="13"/>
        <v>3</v>
      </c>
    </row>
    <row r="39" spans="1:15" s="35" customFormat="1">
      <c r="A39" s="34" t="s">
        <v>70</v>
      </c>
      <c r="B39" s="20">
        <v>0</v>
      </c>
      <c r="C39" s="20">
        <v>0</v>
      </c>
      <c r="D39" s="20">
        <v>0</v>
      </c>
      <c r="E39" s="20">
        <v>0</v>
      </c>
      <c r="F39" s="20">
        <v>0</v>
      </c>
      <c r="G39" s="20">
        <v>200</v>
      </c>
      <c r="H39" s="20">
        <v>19</v>
      </c>
      <c r="I39" s="20">
        <v>20</v>
      </c>
      <c r="J39" s="20">
        <v>0</v>
      </c>
      <c r="K39" s="20"/>
      <c r="L39" s="20"/>
      <c r="M39" s="20"/>
      <c r="O39" s="33"/>
    </row>
    <row r="40" spans="1:15" s="35" customFormat="1">
      <c r="A40" s="34" t="s">
        <v>71</v>
      </c>
      <c r="B40" s="20">
        <v>1140</v>
      </c>
      <c r="C40" s="20">
        <f>1185+249</f>
        <v>1434</v>
      </c>
      <c r="D40" s="20">
        <f>1188+250</f>
        <v>1438</v>
      </c>
      <c r="E40" s="20">
        <f>1191</f>
        <v>1191</v>
      </c>
      <c r="F40" s="20">
        <f>1194</f>
        <v>1194</v>
      </c>
      <c r="G40" s="20">
        <f>1197</f>
        <v>1197</v>
      </c>
      <c r="H40" s="20">
        <v>1200</v>
      </c>
      <c r="I40" s="20">
        <f>1200</f>
        <v>1200</v>
      </c>
      <c r="J40" s="20">
        <v>1200</v>
      </c>
      <c r="K40" s="20"/>
      <c r="L40" s="20"/>
      <c r="M40" s="20"/>
      <c r="O40" s="33"/>
    </row>
    <row r="41" spans="1:15" s="35" customFormat="1">
      <c r="A41" s="34" t="s">
        <v>72</v>
      </c>
      <c r="B41" s="20">
        <f>B39+B40+350+2</f>
        <v>1492</v>
      </c>
      <c r="C41" s="20">
        <f>C39+C40+5</f>
        <v>1439</v>
      </c>
      <c r="D41" s="20">
        <f>D39+D40+5</f>
        <v>1443</v>
      </c>
      <c r="E41" s="20">
        <f>E39+E40+6</f>
        <v>1197</v>
      </c>
      <c r="F41" s="20">
        <f>F39+F40+9</f>
        <v>1203</v>
      </c>
      <c r="G41" s="20">
        <f>G39+G40+10</f>
        <v>1407</v>
      </c>
      <c r="H41" s="20">
        <f>H39+H40+20</f>
        <v>1239</v>
      </c>
      <c r="I41" s="20">
        <f>I39+I40+20</f>
        <v>1240</v>
      </c>
      <c r="J41" s="20">
        <f>J39+J40+20</f>
        <v>1220</v>
      </c>
      <c r="K41" s="20"/>
      <c r="L41" s="20"/>
      <c r="M41" s="20"/>
      <c r="O41" s="33"/>
    </row>
    <row r="42" spans="1:15" s="35" customFormat="1">
      <c r="A42" s="34" t="s">
        <v>73</v>
      </c>
      <c r="B42" s="36">
        <f>201734317/1000000*22.14</f>
        <v>4466.3977783800001</v>
      </c>
      <c r="C42" s="36">
        <f>201282227/1000000*19.08</f>
        <v>3840.4648911599998</v>
      </c>
      <c r="D42" s="36">
        <f>200652118/1000000*20.49</f>
        <v>4111.3618978199993</v>
      </c>
      <c r="E42" s="36">
        <f>169794175/1000000*15.27</f>
        <v>2592.75705225</v>
      </c>
      <c r="F42" s="36">
        <f>169294244/1000000*13.93</f>
        <v>2358.2688189199998</v>
      </c>
      <c r="G42" s="36">
        <v>1825</v>
      </c>
      <c r="H42" s="36">
        <v>1825</v>
      </c>
      <c r="I42" s="36">
        <v>1825</v>
      </c>
      <c r="J42" s="36">
        <v>1825</v>
      </c>
      <c r="K42" s="36"/>
      <c r="L42" s="36"/>
      <c r="M42" s="36"/>
    </row>
    <row r="43" spans="1:15">
      <c r="B43" s="35"/>
      <c r="C43" s="35"/>
      <c r="D43" s="35"/>
      <c r="E43" s="35"/>
      <c r="F43" s="35"/>
      <c r="G43" s="35"/>
      <c r="H43" s="35"/>
      <c r="I43" s="35"/>
      <c r="J43" s="35"/>
      <c r="K43" s="35"/>
      <c r="L43" s="35"/>
    </row>
    <row r="44" spans="1:15">
      <c r="A44" s="19" t="s">
        <v>74</v>
      </c>
      <c r="B44" s="28">
        <v>686</v>
      </c>
      <c r="C44" s="28">
        <v>745</v>
      </c>
      <c r="D44" s="28">
        <v>515</v>
      </c>
      <c r="E44" s="28">
        <f>467</f>
        <v>467</v>
      </c>
      <c r="F44" s="28">
        <v>377</v>
      </c>
      <c r="G44" s="28">
        <v>436</v>
      </c>
      <c r="H44" s="28">
        <v>256.313783</v>
      </c>
      <c r="I44" s="28">
        <v>92.8</v>
      </c>
      <c r="J44" s="28">
        <v>44</v>
      </c>
      <c r="K44" s="28"/>
      <c r="L44" s="28"/>
      <c r="M44" s="28"/>
    </row>
    <row r="46" spans="1:15">
      <c r="A46" s="14" t="s">
        <v>75</v>
      </c>
      <c r="B46" s="58">
        <f t="shared" ref="B46:H46" si="14">SUM(B12:E12)</f>
        <v>3621</v>
      </c>
      <c r="C46" s="58">
        <f t="shared" si="14"/>
        <v>3532</v>
      </c>
      <c r="D46" s="58">
        <f t="shared" si="14"/>
        <v>3587</v>
      </c>
      <c r="E46" s="58">
        <f t="shared" si="14"/>
        <v>3690</v>
      </c>
      <c r="F46" s="58">
        <f t="shared" si="14"/>
        <v>3850</v>
      </c>
      <c r="G46" s="58">
        <f t="shared" si="14"/>
        <v>4028</v>
      </c>
      <c r="H46" s="58">
        <f t="shared" si="14"/>
        <v>4092</v>
      </c>
      <c r="I46" s="58">
        <f>J46+I12-M12</f>
        <v>4028.4139999999998</v>
      </c>
      <c r="J46" s="51">
        <v>3920</v>
      </c>
      <c r="K46" s="33"/>
      <c r="L46" s="33"/>
      <c r="M46" s="33"/>
    </row>
    <row r="47" spans="1:15">
      <c r="A47" s="14" t="s">
        <v>76</v>
      </c>
      <c r="B47" s="58">
        <f t="shared" ref="B47:C47" si="15">B27</f>
        <v>385</v>
      </c>
      <c r="C47" s="58">
        <f t="shared" si="15"/>
        <v>380</v>
      </c>
      <c r="D47" s="58">
        <f t="shared" ref="D47:I47" si="16">D27</f>
        <v>381</v>
      </c>
      <c r="E47" s="58">
        <f t="shared" si="16"/>
        <v>386</v>
      </c>
      <c r="F47" s="58">
        <f t="shared" si="16"/>
        <v>399</v>
      </c>
      <c r="G47" s="58">
        <f t="shared" si="16"/>
        <v>397</v>
      </c>
      <c r="H47" s="58">
        <f t="shared" si="16"/>
        <v>390.64382999999998</v>
      </c>
      <c r="I47" s="58">
        <f t="shared" si="16"/>
        <v>380.60599999999999</v>
      </c>
      <c r="J47" s="51">
        <v>364</v>
      </c>
      <c r="K47" s="33"/>
      <c r="L47" s="33"/>
      <c r="M47" s="33"/>
    </row>
    <row r="48" spans="1:15">
      <c r="A48" s="14" t="s">
        <v>77</v>
      </c>
      <c r="B48" s="58">
        <f t="shared" ref="B48:H48" si="17">SUM(B37:E37)</f>
        <v>228</v>
      </c>
      <c r="C48" s="58">
        <f t="shared" si="17"/>
        <v>428</v>
      </c>
      <c r="D48" s="58">
        <f t="shared" si="17"/>
        <v>458</v>
      </c>
      <c r="E48" s="58">
        <f t="shared" si="17"/>
        <v>444</v>
      </c>
      <c r="F48" s="58">
        <f t="shared" si="17"/>
        <v>433</v>
      </c>
      <c r="G48" s="58">
        <f t="shared" si="17"/>
        <v>272</v>
      </c>
      <c r="H48" s="58">
        <f t="shared" si="17"/>
        <v>231</v>
      </c>
      <c r="I48" s="51"/>
      <c r="J48" s="51">
        <v>94.956999999999994</v>
      </c>
      <c r="K48" s="33"/>
      <c r="L48" s="33"/>
      <c r="M48" s="33"/>
    </row>
    <row r="50" spans="1:13" s="37" customFormat="1">
      <c r="A50" s="37" t="s">
        <v>78</v>
      </c>
      <c r="B50" s="37">
        <f t="shared" ref="B50" si="18">+SUM(B39:B40)/B47</f>
        <v>2.9610389610389611</v>
      </c>
      <c r="C50" s="37">
        <f t="shared" ref="C50:D50" si="19">+SUM(C39:C40)/C47</f>
        <v>3.7736842105263158</v>
      </c>
      <c r="D50" s="37">
        <f t="shared" si="19"/>
        <v>3.7742782152230969</v>
      </c>
      <c r="E50" s="37">
        <f t="shared" ref="E50:J50" si="20">+SUM(E39:E40)/E47</f>
        <v>3.0854922279792745</v>
      </c>
      <c r="F50" s="37">
        <f t="shared" si="20"/>
        <v>2.992481203007519</v>
      </c>
      <c r="G50" s="37">
        <f t="shared" si="20"/>
        <v>3.5188916876574305</v>
      </c>
      <c r="H50" s="37">
        <f t="shared" si="20"/>
        <v>3.1204895774240184</v>
      </c>
      <c r="I50" s="37">
        <f t="shared" si="20"/>
        <v>3.2054145231551789</v>
      </c>
      <c r="J50" s="37">
        <f t="shared" si="20"/>
        <v>3.2967032967032965</v>
      </c>
    </row>
    <row r="51" spans="1:13" s="37" customFormat="1">
      <c r="A51" s="37" t="s">
        <v>79</v>
      </c>
      <c r="B51" s="37">
        <f t="shared" ref="B51" si="21">+B41/B47</f>
        <v>3.8753246753246753</v>
      </c>
      <c r="C51" s="37">
        <f t="shared" ref="C51:D51" si="22">+C41/C47</f>
        <v>3.7868421052631578</v>
      </c>
      <c r="D51" s="37">
        <f t="shared" si="22"/>
        <v>3.7874015748031495</v>
      </c>
      <c r="E51" s="37">
        <f t="shared" ref="E51:J51" si="23">+E41/E47</f>
        <v>3.1010362694300517</v>
      </c>
      <c r="F51" s="37">
        <f t="shared" si="23"/>
        <v>3.0150375939849625</v>
      </c>
      <c r="G51" s="37">
        <f t="shared" si="23"/>
        <v>3.5440806045340052</v>
      </c>
      <c r="H51" s="37">
        <f t="shared" si="23"/>
        <v>3.1716871094572263</v>
      </c>
      <c r="I51" s="37">
        <f t="shared" si="23"/>
        <v>3.2579623022232966</v>
      </c>
      <c r="J51" s="37">
        <f t="shared" si="23"/>
        <v>3.3516483516483517</v>
      </c>
    </row>
    <row r="52" spans="1:13" s="37" customFormat="1">
      <c r="A52" s="37" t="s">
        <v>80</v>
      </c>
      <c r="B52" s="37">
        <f t="shared" ref="B52" si="24">+(B41-B44)/B47</f>
        <v>2.0935064935064935</v>
      </c>
      <c r="C52" s="37">
        <f t="shared" ref="C52:D52" si="25">+(C41-C44)/C47</f>
        <v>1.8263157894736841</v>
      </c>
      <c r="D52" s="37">
        <f t="shared" si="25"/>
        <v>2.4356955380577427</v>
      </c>
      <c r="E52" s="37">
        <f t="shared" ref="E52:J52" si="26">+(E41-E44)/E47</f>
        <v>1.8911917098445596</v>
      </c>
      <c r="F52" s="37">
        <f t="shared" si="26"/>
        <v>2.0701754385964914</v>
      </c>
      <c r="G52" s="37">
        <f t="shared" si="26"/>
        <v>2.4458438287153652</v>
      </c>
      <c r="H52" s="37">
        <f t="shared" si="26"/>
        <v>2.5155554536724667</v>
      </c>
      <c r="I52" s="37">
        <f t="shared" si="26"/>
        <v>3.0141406073472305</v>
      </c>
      <c r="J52" s="37">
        <f t="shared" si="26"/>
        <v>3.2307692307692308</v>
      </c>
    </row>
    <row r="53" spans="1:13" s="38" customFormat="1">
      <c r="A53" s="38" t="s">
        <v>81</v>
      </c>
      <c r="B53" s="38">
        <f t="shared" ref="B53" si="27">+B48/B41</f>
        <v>0.15281501340482573</v>
      </c>
      <c r="C53" s="38">
        <f t="shared" ref="C53:D53" si="28">+C48/C41</f>
        <v>0.29742876997915219</v>
      </c>
      <c r="D53" s="38">
        <f t="shared" si="28"/>
        <v>0.31739431739431739</v>
      </c>
      <c r="E53" s="38">
        <f t="shared" ref="E53:J53" si="29">+E48/E41</f>
        <v>0.37092731829573933</v>
      </c>
      <c r="F53" s="38">
        <f t="shared" si="29"/>
        <v>0.35993349958437243</v>
      </c>
      <c r="G53" s="38">
        <f t="shared" si="29"/>
        <v>0.19331911869225302</v>
      </c>
      <c r="H53" s="38">
        <f t="shared" si="29"/>
        <v>0.1864406779661017</v>
      </c>
      <c r="I53" s="38">
        <f t="shared" si="29"/>
        <v>0</v>
      </c>
      <c r="J53" s="38">
        <f t="shared" si="29"/>
        <v>7.7833606557377047E-2</v>
      </c>
    </row>
    <row r="54" spans="1:13" s="38" customFormat="1">
      <c r="A54" s="39" t="s">
        <v>82</v>
      </c>
      <c r="B54" s="40"/>
      <c r="C54" s="40"/>
      <c r="D54" s="40"/>
      <c r="E54" s="40"/>
      <c r="F54" s="40"/>
      <c r="G54" s="40"/>
      <c r="H54" s="40"/>
      <c r="I54" s="40"/>
      <c r="J54" s="40"/>
      <c r="K54" s="40"/>
      <c r="L54" s="40"/>
      <c r="M54" s="40"/>
    </row>
    <row r="55" spans="1:13" s="38" customFormat="1">
      <c r="A55" s="38" t="s">
        <v>83</v>
      </c>
      <c r="B55" s="41">
        <f t="shared" ref="B55" si="30">IF(B42=0,IF(B54="","","*"&amp;TEXT(B54,"0.0x")),(B41+B42-B44)/B47)</f>
        <v>13.694539684103896</v>
      </c>
      <c r="C55" s="41">
        <f t="shared" ref="C55:D55" si="31">IF(C42=0,IF(C54="","","*"&amp;TEXT(C54,"0.0x")),(C41+C42-C44)/C47)</f>
        <v>11.932802345157894</v>
      </c>
      <c r="D55" s="41">
        <f t="shared" si="31"/>
        <v>13.22667164782152</v>
      </c>
      <c r="E55" s="41">
        <f t="shared" ref="E55:J55" si="32">IF(E42=0,IF(E54="","","*"&amp;TEXT(E54,"0.0x")),(E41+E42-E44)/E47)</f>
        <v>8.608178891839378</v>
      </c>
      <c r="F55" s="41">
        <f t="shared" si="32"/>
        <v>7.9806236063157892</v>
      </c>
      <c r="G55" s="41">
        <f t="shared" si="32"/>
        <v>7.0428211586901766</v>
      </c>
      <c r="H55" s="41">
        <f t="shared" si="32"/>
        <v>7.1873302517026829</v>
      </c>
      <c r="I55" s="41">
        <f t="shared" si="32"/>
        <v>7.8091254473129688</v>
      </c>
      <c r="J55" s="41">
        <f t="shared" si="32"/>
        <v>8.2445054945054945</v>
      </c>
      <c r="K55" s="41"/>
      <c r="L55" s="41"/>
      <c r="M55" s="41"/>
    </row>
    <row r="57" spans="1:13" ht="80.25" customHeight="1">
      <c r="A57" s="43" t="s">
        <v>84</v>
      </c>
      <c r="B57" s="44" t="s">
        <v>533</v>
      </c>
      <c r="C57" s="44" t="s">
        <v>533</v>
      </c>
      <c r="D57" s="44" t="s">
        <v>533</v>
      </c>
      <c r="E57" s="44" t="s">
        <v>533</v>
      </c>
      <c r="F57" s="44" t="s">
        <v>533</v>
      </c>
      <c r="G57" s="44" t="s">
        <v>533</v>
      </c>
      <c r="H57" s="44" t="s">
        <v>533</v>
      </c>
      <c r="I57" s="44" t="s">
        <v>533</v>
      </c>
      <c r="J57" s="44" t="s">
        <v>90</v>
      </c>
      <c r="K57" s="44"/>
      <c r="L57" s="44"/>
      <c r="M57" s="44"/>
    </row>
    <row r="58" spans="1:13">
      <c r="A58" s="45"/>
      <c r="B58" s="42"/>
      <c r="C58" s="42"/>
      <c r="D58" s="42"/>
      <c r="E58" s="42"/>
      <c r="F58" s="42"/>
      <c r="G58" s="42"/>
      <c r="H58" s="42"/>
      <c r="I58" s="42"/>
      <c r="J58" s="42"/>
    </row>
    <row r="59" spans="1:13">
      <c r="A59" s="45"/>
    </row>
  </sheetData>
  <pageMargins left="0.7" right="0.7" top="0.75" bottom="0.75" header="0.3" footer="0.3"/>
  <pageSetup orientation="portrait" r:id="rId1"/>
  <ignoredErrors>
    <ignoredError sqref="G38:K38 G37 J37:K37 C37" formulaRange="1"/>
  </ignoredError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AA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ColWidth="9.109375" defaultRowHeight="13.8"/>
  <cols>
    <col min="1" max="1" width="22.6640625" style="14" customWidth="1"/>
    <col min="2" max="24" width="10.6640625" style="14" customWidth="1"/>
    <col min="25" max="16384" width="9.109375" style="14"/>
  </cols>
  <sheetData>
    <row r="2" spans="1:24">
      <c r="A2" s="13" t="s">
        <v>44</v>
      </c>
      <c r="B2" s="14" t="s">
        <v>509</v>
      </c>
    </row>
    <row r="3" spans="1:24" s="16" customFormat="1">
      <c r="A3" s="15" t="s">
        <v>45</v>
      </c>
      <c r="B3" s="16" t="s">
        <v>148</v>
      </c>
    </row>
    <row r="4" spans="1:24">
      <c r="A4" s="13" t="s">
        <v>2</v>
      </c>
      <c r="B4" s="14" t="s">
        <v>4</v>
      </c>
    </row>
    <row r="5" spans="1:24">
      <c r="A5" s="13" t="s">
        <v>46</v>
      </c>
    </row>
    <row r="6" spans="1:24">
      <c r="A6" s="13" t="s">
        <v>47</v>
      </c>
      <c r="B6" s="14">
        <v>3</v>
      </c>
    </row>
    <row r="7" spans="1:24">
      <c r="A7" s="13" t="s">
        <v>48</v>
      </c>
      <c r="B7" s="14" t="s">
        <v>448</v>
      </c>
    </row>
    <row r="8" spans="1:24">
      <c r="A8" s="13" t="s">
        <v>347</v>
      </c>
      <c r="B8" s="14" t="s">
        <v>394</v>
      </c>
    </row>
    <row r="9" spans="1:24">
      <c r="A9" s="17"/>
      <c r="V9" s="49"/>
    </row>
    <row r="10" spans="1:24">
      <c r="A10" s="17" t="s">
        <v>49</v>
      </c>
      <c r="B10" s="18">
        <v>44286</v>
      </c>
      <c r="C10" s="18">
        <v>44196</v>
      </c>
      <c r="D10" s="18">
        <v>44104</v>
      </c>
      <c r="E10" s="18">
        <v>44012</v>
      </c>
      <c r="F10" s="18">
        <v>43921</v>
      </c>
      <c r="G10" s="18">
        <v>43830</v>
      </c>
      <c r="H10" s="18">
        <v>43738</v>
      </c>
      <c r="I10" s="18">
        <v>43646</v>
      </c>
      <c r="J10" s="18">
        <v>43555</v>
      </c>
      <c r="K10" s="18">
        <v>43465</v>
      </c>
      <c r="L10" s="18">
        <v>43373</v>
      </c>
      <c r="M10" s="18">
        <v>43281</v>
      </c>
      <c r="N10" s="18">
        <v>43190</v>
      </c>
      <c r="O10" s="18">
        <v>43100</v>
      </c>
      <c r="P10" s="18">
        <v>43008</v>
      </c>
      <c r="Q10" s="18">
        <v>42916</v>
      </c>
      <c r="R10" s="18">
        <v>42825</v>
      </c>
      <c r="S10" s="18">
        <v>42735</v>
      </c>
      <c r="T10" s="18">
        <v>42643</v>
      </c>
      <c r="U10" s="18">
        <v>42551</v>
      </c>
      <c r="V10" s="18">
        <v>42460</v>
      </c>
      <c r="W10" s="18">
        <v>42369</v>
      </c>
      <c r="X10" s="18">
        <v>42277</v>
      </c>
    </row>
    <row r="12" spans="1:24">
      <c r="A12" s="19" t="s">
        <v>50</v>
      </c>
      <c r="B12" s="20"/>
      <c r="C12" s="20">
        <v>166.547</v>
      </c>
      <c r="D12" s="20">
        <v>157.79</v>
      </c>
      <c r="E12" s="20">
        <v>139.07</v>
      </c>
      <c r="F12" s="20">
        <f>809.162-G12-H12-I12</f>
        <v>189.48599999999999</v>
      </c>
      <c r="G12" s="20">
        <v>199.35499999999999</v>
      </c>
      <c r="H12" s="20">
        <v>207.60900000000001</v>
      </c>
      <c r="I12" s="20">
        <v>212.71199999999999</v>
      </c>
      <c r="J12" s="20">
        <f>876.282-K12-L12-M12</f>
        <v>216.73300000000009</v>
      </c>
      <c r="K12" s="20">
        <v>217.41499999999999</v>
      </c>
      <c r="L12" s="20">
        <v>217.142</v>
      </c>
      <c r="M12" s="20">
        <v>224.99199999999999</v>
      </c>
      <c r="N12" s="20">
        <f>839.419-Q12-P12-O12</f>
        <v>214.14000000000001</v>
      </c>
      <c r="O12" s="20">
        <v>208.72499999999999</v>
      </c>
      <c r="P12" s="20">
        <v>212.828</v>
      </c>
      <c r="Q12" s="20">
        <v>203.726</v>
      </c>
      <c r="R12" s="20">
        <f>637.123-U12-T12-S12</f>
        <v>183.68799999999999</v>
      </c>
      <c r="S12" s="20">
        <v>152.49700000000001</v>
      </c>
      <c r="T12" s="20">
        <v>151.92500000000001</v>
      </c>
      <c r="U12" s="20">
        <v>149.01300000000001</v>
      </c>
      <c r="V12" s="20">
        <f>597.103-442.015</f>
        <v>155.08799999999997</v>
      </c>
      <c r="W12" s="20">
        <v>159.738</v>
      </c>
      <c r="X12" s="20">
        <v>146.041</v>
      </c>
    </row>
    <row r="13" spans="1:24" s="21" customFormat="1">
      <c r="A13" s="21" t="s">
        <v>51</v>
      </c>
      <c r="C13" s="21">
        <f t="shared" ref="C13:T13" si="0">+C12/G12-1</f>
        <v>-0.16457074063855937</v>
      </c>
      <c r="D13" s="21">
        <f t="shared" si="0"/>
        <v>-0.2399655120924431</v>
      </c>
      <c r="E13" s="21">
        <f t="shared" si="0"/>
        <v>-0.34620519763812108</v>
      </c>
      <c r="F13" s="21">
        <f t="shared" si="0"/>
        <v>-0.12571689590417745</v>
      </c>
      <c r="G13" s="21">
        <f t="shared" si="0"/>
        <v>-8.3066945702918393E-2</v>
      </c>
      <c r="H13" s="21">
        <f t="shared" si="0"/>
        <v>-4.3902146982159107E-2</v>
      </c>
      <c r="I13" s="21">
        <f t="shared" si="0"/>
        <v>-5.4579718389987208E-2</v>
      </c>
      <c r="J13" s="21">
        <f t="shared" si="0"/>
        <v>1.2108900719155935E-2</v>
      </c>
      <c r="K13" s="21">
        <f t="shared" si="0"/>
        <v>4.1633728590250385E-2</v>
      </c>
      <c r="L13" s="21">
        <f t="shared" si="0"/>
        <v>2.0269889300279953E-2</v>
      </c>
      <c r="M13" s="21">
        <f t="shared" si="0"/>
        <v>0.10438530182696359</v>
      </c>
      <c r="N13" s="21">
        <f t="shared" si="0"/>
        <v>0.16578110709463889</v>
      </c>
      <c r="O13" s="21">
        <f t="shared" si="0"/>
        <v>0.36871545014000251</v>
      </c>
      <c r="P13" s="21">
        <f t="shared" si="0"/>
        <v>0.4008754319565575</v>
      </c>
      <c r="Q13" s="21">
        <f t="shared" si="0"/>
        <v>0.36716930737586639</v>
      </c>
      <c r="R13" s="21">
        <f t="shared" si="0"/>
        <v>0.18441143092953705</v>
      </c>
      <c r="S13" s="21">
        <f t="shared" si="0"/>
        <v>-4.5330478658803686E-2</v>
      </c>
      <c r="T13" s="21">
        <f t="shared" si="0"/>
        <v>4.0290055532350655E-2</v>
      </c>
    </row>
    <row r="14" spans="1:24" s="24" customFormat="1">
      <c r="A14" s="22" t="s">
        <v>52</v>
      </c>
      <c r="B14" s="23"/>
      <c r="C14" s="23" t="s">
        <v>3</v>
      </c>
      <c r="D14" s="23" t="s">
        <v>3</v>
      </c>
      <c r="E14" s="23" t="s">
        <v>3</v>
      </c>
      <c r="F14" s="23" t="s">
        <v>3</v>
      </c>
      <c r="G14" s="23" t="s">
        <v>3</v>
      </c>
      <c r="H14" s="23" t="s">
        <v>3</v>
      </c>
      <c r="I14" s="23" t="s">
        <v>3</v>
      </c>
      <c r="J14" s="23" t="s">
        <v>3</v>
      </c>
      <c r="K14" s="23" t="s">
        <v>3</v>
      </c>
      <c r="L14" s="23" t="s">
        <v>3</v>
      </c>
      <c r="M14" s="23" t="s">
        <v>3</v>
      </c>
      <c r="N14" s="23" t="s">
        <v>3</v>
      </c>
      <c r="O14" s="23" t="s">
        <v>3</v>
      </c>
      <c r="P14" s="23" t="s">
        <v>3</v>
      </c>
      <c r="Q14" s="23" t="s">
        <v>3</v>
      </c>
      <c r="R14" s="23" t="s">
        <v>3</v>
      </c>
      <c r="S14" s="23" t="s">
        <v>3</v>
      </c>
      <c r="T14" s="23" t="s">
        <v>3</v>
      </c>
      <c r="U14" s="22"/>
      <c r="V14" s="22"/>
      <c r="W14" s="22"/>
      <c r="X14" s="22"/>
    </row>
    <row r="16" spans="1:24" s="17" customFormat="1">
      <c r="A16" s="25" t="s">
        <v>53</v>
      </c>
      <c r="B16" s="26"/>
      <c r="C16" s="26">
        <v>18.100000000000001</v>
      </c>
      <c r="D16" s="26">
        <v>21.1</v>
      </c>
      <c r="E16" s="26">
        <v>12.087999999999999</v>
      </c>
      <c r="F16" s="26">
        <v>27.32</v>
      </c>
      <c r="G16" s="26">
        <f>G22-G21-G20-G19</f>
        <v>28.053000000000001</v>
      </c>
      <c r="H16" s="26">
        <f>H22-H21-H20-H19</f>
        <v>32.575000000000003</v>
      </c>
      <c r="I16" s="26">
        <v>35.491</v>
      </c>
      <c r="J16" s="26">
        <v>32.807000000000002</v>
      </c>
      <c r="K16" s="26">
        <f>K22-K21-K20-K19</f>
        <v>30.097000000000001</v>
      </c>
      <c r="L16" s="26">
        <f>L22-L21-L20-L19</f>
        <v>32.855000000000004</v>
      </c>
      <c r="M16" s="26">
        <f>35.341-1.906</f>
        <v>33.435000000000002</v>
      </c>
      <c r="N16" s="26">
        <v>29.341000000000001</v>
      </c>
      <c r="O16" s="26">
        <f>O22-O21-O20-O19</f>
        <v>22.827999999999999</v>
      </c>
      <c r="P16" s="26">
        <f>P22-P21-P20-P19</f>
        <v>28.314</v>
      </c>
      <c r="Q16" s="26">
        <f>29.655-1.171</f>
        <v>28.484000000000002</v>
      </c>
      <c r="R16" s="26">
        <f>25.973+25.162+5.914-U16-T16-S16</f>
        <v>6.1899999999999977</v>
      </c>
      <c r="S16" s="26">
        <f>29.137+17.695+4.027-U16-T16</f>
        <v>12.571999999999999</v>
      </c>
      <c r="T16" s="26">
        <f>23.82+11.928+2.539-U16</f>
        <v>19.938000000000006</v>
      </c>
      <c r="U16" s="26">
        <f>11.201+6.001+1.147</f>
        <v>18.349</v>
      </c>
      <c r="V16" s="26">
        <f>40.57+20.531+4.063-(28.761+13.872+3.368)</f>
        <v>19.163000000000004</v>
      </c>
      <c r="W16" s="26">
        <f>28.761+13.872+3.368-(17.803+8.521+2.042)</f>
        <v>17.634999999999998</v>
      </c>
      <c r="X16" s="26">
        <f>17.803+8.521+2.042-(11.291+3.972+0.911)</f>
        <v>12.192</v>
      </c>
    </row>
    <row r="17" spans="1:27" s="21" customFormat="1">
      <c r="A17" s="21" t="s">
        <v>54</v>
      </c>
      <c r="C17" s="21">
        <f t="shared" ref="C17:D17" si="1">+C16/C12</f>
        <v>0.10867803082613317</v>
      </c>
      <c r="D17" s="21">
        <f t="shared" si="1"/>
        <v>0.13372203561695928</v>
      </c>
      <c r="E17" s="21">
        <f t="shared" ref="E17:F17" si="2">+E16/E12</f>
        <v>8.6920255986194003E-2</v>
      </c>
      <c r="F17" s="21">
        <f t="shared" si="2"/>
        <v>0.14417951722026959</v>
      </c>
      <c r="G17" s="21">
        <f t="shared" ref="G17:I17" si="3">+G16/G12</f>
        <v>0.14071881818865845</v>
      </c>
      <c r="H17" s="21">
        <f t="shared" si="3"/>
        <v>0.15690552914372691</v>
      </c>
      <c r="I17" s="21">
        <f t="shared" si="3"/>
        <v>0.16685001316333822</v>
      </c>
      <c r="J17" s="21">
        <f t="shared" ref="J17" si="4">+J16/J12</f>
        <v>0.15137058039154161</v>
      </c>
      <c r="K17" s="21">
        <f t="shared" ref="K17:X17" si="5">+K16/K12</f>
        <v>0.13843111100890004</v>
      </c>
      <c r="L17" s="21">
        <f t="shared" si="5"/>
        <v>0.15130651831520389</v>
      </c>
      <c r="M17" s="21">
        <f t="shared" si="5"/>
        <v>0.148605283743422</v>
      </c>
      <c r="N17" s="21">
        <f t="shared" si="5"/>
        <v>0.13701783879704865</v>
      </c>
      <c r="O17" s="21">
        <f t="shared" si="5"/>
        <v>0.10936878668103965</v>
      </c>
      <c r="P17" s="21">
        <f t="shared" si="5"/>
        <v>0.13303700640893115</v>
      </c>
      <c r="Q17" s="21">
        <f t="shared" si="5"/>
        <v>0.13981524204078027</v>
      </c>
      <c r="R17" s="21">
        <f t="shared" si="5"/>
        <v>3.3698445189669426E-2</v>
      </c>
      <c r="S17" s="21">
        <f t="shared" si="5"/>
        <v>8.2440966051791173E-2</v>
      </c>
      <c r="T17" s="21">
        <f t="shared" si="5"/>
        <v>0.13123580714168179</v>
      </c>
      <c r="U17" s="21">
        <f t="shared" si="5"/>
        <v>0.123136907518136</v>
      </c>
      <c r="V17" s="21">
        <f t="shared" si="5"/>
        <v>0.1235621066749201</v>
      </c>
      <c r="W17" s="21">
        <f t="shared" si="5"/>
        <v>0.11039952922911266</v>
      </c>
      <c r="X17" s="21">
        <f t="shared" si="5"/>
        <v>8.3483405345074327E-2</v>
      </c>
    </row>
    <row r="18" spans="1:27" s="24" customFormat="1"/>
    <row r="19" spans="1:27" s="24" customFormat="1">
      <c r="A19" s="19" t="s">
        <v>55</v>
      </c>
      <c r="B19" s="20"/>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row>
    <row r="20" spans="1:27" s="24" customFormat="1">
      <c r="A20" s="19" t="s">
        <v>56</v>
      </c>
      <c r="B20" s="20"/>
      <c r="C20" s="20">
        <v>0</v>
      </c>
      <c r="D20" s="20">
        <v>0</v>
      </c>
      <c r="E20" s="20">
        <v>0</v>
      </c>
      <c r="F20" s="20">
        <v>0</v>
      </c>
      <c r="G20" s="20">
        <v>0</v>
      </c>
      <c r="H20" s="20">
        <v>0</v>
      </c>
      <c r="I20" s="20">
        <v>0</v>
      </c>
      <c r="J20" s="20">
        <v>0</v>
      </c>
      <c r="K20" s="20">
        <v>0</v>
      </c>
      <c r="L20" s="20">
        <v>0</v>
      </c>
      <c r="M20" s="20">
        <v>1.9059999999999999</v>
      </c>
      <c r="N20" s="20">
        <v>0</v>
      </c>
      <c r="O20" s="20">
        <v>3.0059999999999998</v>
      </c>
      <c r="P20" s="20">
        <v>0.66900000000000004</v>
      </c>
      <c r="Q20" s="20">
        <v>1.171</v>
      </c>
      <c r="R20" s="20">
        <f>8.852+8.815+3.085-U20-T20-S20</f>
        <v>17.612000000000002</v>
      </c>
      <c r="S20" s="20">
        <f>3.14-U20-T20</f>
        <v>3.14</v>
      </c>
      <c r="T20" s="20">
        <v>0</v>
      </c>
      <c r="U20" s="20">
        <v>0</v>
      </c>
      <c r="V20" s="20">
        <f>1.446+8.046-(5.746+2.3+1.446+0.585)</f>
        <v>-0.58499999999999908</v>
      </c>
      <c r="W20" s="20">
        <f>5.746+2.3+1.446+0.585-(5.332+2.3+0.925+0.585)</f>
        <v>0.93499999999999872</v>
      </c>
      <c r="X20" s="20">
        <f>5.332+2.3+0.925+0.585-(0.374+0.297)</f>
        <v>8.4710000000000001</v>
      </c>
    </row>
    <row r="21" spans="1:27" s="24" customFormat="1">
      <c r="A21" s="19" t="s">
        <v>57</v>
      </c>
      <c r="B21" s="20"/>
      <c r="C21" s="20">
        <v>0</v>
      </c>
      <c r="D21" s="20">
        <v>0</v>
      </c>
      <c r="E21" s="20">
        <v>0</v>
      </c>
      <c r="F21" s="20">
        <v>0</v>
      </c>
      <c r="G21" s="20">
        <f>0.066+0.662+1.592</f>
        <v>2.3200000000000003</v>
      </c>
      <c r="H21" s="20">
        <f>0.47+0.413+0.22+0.007</f>
        <v>1.1099999999999999</v>
      </c>
      <c r="I21" s="20">
        <v>0</v>
      </c>
      <c r="J21" s="20">
        <v>0</v>
      </c>
      <c r="K21" s="20">
        <f>0.491+0.2</f>
        <v>0.69100000000000006</v>
      </c>
      <c r="L21" s="20">
        <v>0.65900000000000003</v>
      </c>
      <c r="M21" s="20">
        <v>0</v>
      </c>
      <c r="N21" s="20">
        <v>0</v>
      </c>
      <c r="O21" s="20">
        <v>1.04</v>
      </c>
      <c r="P21" s="20">
        <f>1.323+0.4-1.741</f>
        <v>-1.8000000000000238E-2</v>
      </c>
      <c r="Q21" s="20">
        <v>0</v>
      </c>
      <c r="R21" s="20">
        <f>1.359+1.125+0.247-U21-T21-S21</f>
        <v>2.484</v>
      </c>
      <c r="S21" s="20">
        <f>0.247-U21-T21</f>
        <v>0</v>
      </c>
      <c r="T21" s="20">
        <f>0.247-U21</f>
        <v>0</v>
      </c>
      <c r="U21" s="20">
        <v>0.247</v>
      </c>
      <c r="V21" s="20">
        <f>1.1+0.429+1.444+0.581-(0.581)</f>
        <v>2.9729999999999999</v>
      </c>
      <c r="W21" s="20">
        <f>0.581-Y21</f>
        <v>0.58099999999999996</v>
      </c>
      <c r="X21" s="20">
        <v>0</v>
      </c>
    </row>
    <row r="22" spans="1:27" s="17" customFormat="1">
      <c r="A22" s="17" t="s">
        <v>58</v>
      </c>
      <c r="B22" s="27"/>
      <c r="C22" s="27">
        <f>C16+C19+C20+C21</f>
        <v>18.100000000000001</v>
      </c>
      <c r="D22" s="27">
        <f>D16+D19+D20+D21</f>
        <v>21.1</v>
      </c>
      <c r="E22" s="27">
        <f>E16+E19+E20+E21</f>
        <v>12.087999999999999</v>
      </c>
      <c r="F22" s="27">
        <f>F16+F19+F20+F21</f>
        <v>27.32</v>
      </c>
      <c r="G22" s="46">
        <v>30.373000000000001</v>
      </c>
      <c r="H22" s="46">
        <v>33.685000000000002</v>
      </c>
      <c r="I22" s="27">
        <f>I16+I19+I20+I21</f>
        <v>35.491</v>
      </c>
      <c r="J22" s="27">
        <f>J16+J19+J20+J21</f>
        <v>32.807000000000002</v>
      </c>
      <c r="K22" s="46">
        <v>30.788</v>
      </c>
      <c r="L22" s="46">
        <v>33.514000000000003</v>
      </c>
      <c r="M22" s="27">
        <f>SUM(M16,M19:M21)</f>
        <v>35.341000000000001</v>
      </c>
      <c r="N22" s="27">
        <f>N16+N19+N20+N21</f>
        <v>29.341000000000001</v>
      </c>
      <c r="O22" s="46">
        <v>26.873999999999999</v>
      </c>
      <c r="P22" s="46">
        <v>28.965</v>
      </c>
      <c r="Q22" s="27">
        <f>SUM(Q16,Q19:Q21)</f>
        <v>29.655000000000001</v>
      </c>
      <c r="R22" s="27">
        <f t="shared" ref="R22:X22" si="6">SUM(R16,R19:R21)</f>
        <v>26.286000000000001</v>
      </c>
      <c r="S22" s="27">
        <f t="shared" si="6"/>
        <v>15.712</v>
      </c>
      <c r="T22" s="27">
        <f t="shared" si="6"/>
        <v>19.938000000000006</v>
      </c>
      <c r="U22" s="27">
        <f t="shared" si="6"/>
        <v>18.596</v>
      </c>
      <c r="V22" s="27">
        <f t="shared" si="6"/>
        <v>21.551000000000002</v>
      </c>
      <c r="W22" s="27">
        <f t="shared" si="6"/>
        <v>19.150999999999996</v>
      </c>
      <c r="X22" s="27">
        <f t="shared" si="6"/>
        <v>20.663</v>
      </c>
    </row>
    <row r="23" spans="1:27" s="17" customFormat="1">
      <c r="B23" s="21"/>
      <c r="C23" s="21"/>
      <c r="D23" s="21"/>
      <c r="E23" s="21"/>
      <c r="F23" s="21"/>
      <c r="G23" s="21"/>
      <c r="H23" s="21"/>
      <c r="I23" s="21"/>
      <c r="J23" s="21"/>
      <c r="K23" s="21"/>
      <c r="L23" s="87"/>
      <c r="M23" s="21"/>
      <c r="N23" s="27"/>
      <c r="O23" s="27"/>
      <c r="P23" s="27"/>
      <c r="Q23" s="27"/>
      <c r="R23" s="27"/>
      <c r="S23" s="27"/>
      <c r="T23" s="27"/>
      <c r="U23" s="27"/>
      <c r="V23" s="27"/>
      <c r="W23" s="27"/>
      <c r="X23" s="27"/>
    </row>
    <row r="24" spans="1:27" s="17" customFormat="1">
      <c r="A24" s="17" t="s">
        <v>59</v>
      </c>
      <c r="B24" s="27"/>
      <c r="C24" s="27">
        <f t="shared" ref="C24:U24" si="7">SUM(C22:F22)</f>
        <v>78.608000000000004</v>
      </c>
      <c r="D24" s="27">
        <f t="shared" si="7"/>
        <v>90.881</v>
      </c>
      <c r="E24" s="27">
        <f t="shared" si="7"/>
        <v>103.46600000000001</v>
      </c>
      <c r="F24" s="27">
        <f t="shared" si="7"/>
        <v>126.869</v>
      </c>
      <c r="G24" s="27">
        <f t="shared" si="7"/>
        <v>132.35599999999999</v>
      </c>
      <c r="H24" s="27">
        <f t="shared" si="7"/>
        <v>132.77100000000002</v>
      </c>
      <c r="I24" s="27">
        <f t="shared" si="7"/>
        <v>132.6</v>
      </c>
      <c r="J24" s="27">
        <f t="shared" si="7"/>
        <v>132.45000000000002</v>
      </c>
      <c r="K24" s="27">
        <f t="shared" si="7"/>
        <v>128.98400000000001</v>
      </c>
      <c r="L24" s="27">
        <f t="shared" si="7"/>
        <v>125.07</v>
      </c>
      <c r="M24" s="27">
        <f t="shared" si="7"/>
        <v>120.521</v>
      </c>
      <c r="N24" s="27">
        <f t="shared" si="7"/>
        <v>114.83500000000001</v>
      </c>
      <c r="O24" s="27">
        <f t="shared" si="7"/>
        <v>111.78</v>
      </c>
      <c r="P24" s="27">
        <f t="shared" si="7"/>
        <v>100.61800000000001</v>
      </c>
      <c r="Q24" s="27">
        <f t="shared" si="7"/>
        <v>91.591000000000008</v>
      </c>
      <c r="R24" s="27">
        <f t="shared" si="7"/>
        <v>80.532000000000011</v>
      </c>
      <c r="S24" s="27">
        <f t="shared" si="7"/>
        <v>75.797000000000011</v>
      </c>
      <c r="T24" s="27">
        <f t="shared" si="7"/>
        <v>79.236000000000004</v>
      </c>
      <c r="U24" s="27">
        <f t="shared" si="7"/>
        <v>79.960999999999999</v>
      </c>
      <c r="V24" s="27"/>
      <c r="W24" s="27"/>
      <c r="X24" s="27"/>
    </row>
    <row r="25" spans="1:27" s="24" customFormat="1">
      <c r="A25" s="19" t="s">
        <v>60</v>
      </c>
      <c r="B25" s="28"/>
      <c r="C25" s="28">
        <v>0</v>
      </c>
      <c r="D25" s="28">
        <v>0</v>
      </c>
      <c r="E25" s="28">
        <v>0</v>
      </c>
      <c r="F25" s="28">
        <f>126.869-F24</f>
        <v>0</v>
      </c>
      <c r="G25" s="28">
        <v>0</v>
      </c>
      <c r="H25" s="28">
        <v>0</v>
      </c>
      <c r="I25" s="28">
        <v>0</v>
      </c>
      <c r="J25" s="28">
        <v>0</v>
      </c>
      <c r="K25" s="28">
        <v>0</v>
      </c>
      <c r="L25" s="28">
        <v>0</v>
      </c>
      <c r="M25" s="28">
        <v>0</v>
      </c>
      <c r="N25" s="28">
        <v>0</v>
      </c>
      <c r="O25" s="28">
        <v>0</v>
      </c>
      <c r="P25" s="28">
        <v>0</v>
      </c>
      <c r="Q25" s="28">
        <v>0</v>
      </c>
      <c r="R25" s="28">
        <v>0</v>
      </c>
      <c r="S25" s="28">
        <v>0</v>
      </c>
      <c r="T25" s="28">
        <v>0</v>
      </c>
      <c r="U25" s="28">
        <v>0</v>
      </c>
      <c r="V25" s="28"/>
      <c r="W25" s="28"/>
      <c r="X25" s="28"/>
    </row>
    <row r="26" spans="1:27" s="24" customFormat="1">
      <c r="A26" s="19" t="s">
        <v>61</v>
      </c>
      <c r="B26" s="29"/>
      <c r="C26" s="29">
        <v>0</v>
      </c>
      <c r="D26" s="29">
        <v>0</v>
      </c>
      <c r="E26" s="29">
        <v>0</v>
      </c>
      <c r="F26" s="29">
        <v>0</v>
      </c>
      <c r="G26" s="29">
        <v>0</v>
      </c>
      <c r="H26" s="29">
        <v>0</v>
      </c>
      <c r="I26" s="29">
        <v>0</v>
      </c>
      <c r="J26" s="29">
        <v>0</v>
      </c>
      <c r="K26" s="29">
        <v>0</v>
      </c>
      <c r="L26" s="29">
        <v>0</v>
      </c>
      <c r="M26" s="29">
        <v>0</v>
      </c>
      <c r="N26" s="29">
        <v>0</v>
      </c>
      <c r="O26" s="29">
        <v>8.3000000000000007</v>
      </c>
      <c r="P26" s="29">
        <v>0</v>
      </c>
      <c r="Q26" s="29">
        <v>0</v>
      </c>
      <c r="R26" s="29">
        <v>0</v>
      </c>
      <c r="S26" s="29">
        <v>0</v>
      </c>
      <c r="T26" s="29">
        <v>0</v>
      </c>
      <c r="U26" s="29">
        <v>0</v>
      </c>
      <c r="V26" s="30"/>
      <c r="W26" s="30"/>
      <c r="X26" s="30"/>
    </row>
    <row r="27" spans="1:27" s="32" customFormat="1">
      <c r="A27" s="17" t="s">
        <v>62</v>
      </c>
      <c r="B27" s="27"/>
      <c r="C27" s="27">
        <f t="shared" ref="C27:D27" si="8">SUM(C24:C26)</f>
        <v>78.608000000000004</v>
      </c>
      <c r="D27" s="27">
        <f t="shared" si="8"/>
        <v>90.881</v>
      </c>
      <c r="E27" s="27">
        <f t="shared" ref="E27:F27" si="9">SUM(E24:E26)</f>
        <v>103.46600000000001</v>
      </c>
      <c r="F27" s="27">
        <f t="shared" si="9"/>
        <v>126.869</v>
      </c>
      <c r="G27" s="27">
        <f t="shared" ref="G27:H27" si="10">SUM(G24:G26)</f>
        <v>132.35599999999999</v>
      </c>
      <c r="H27" s="27">
        <f t="shared" si="10"/>
        <v>132.77100000000002</v>
      </c>
      <c r="I27" s="27">
        <f t="shared" ref="I27:K27" si="11">SUM(I24:I26)</f>
        <v>132.6</v>
      </c>
      <c r="J27" s="27">
        <f t="shared" si="11"/>
        <v>132.45000000000002</v>
      </c>
      <c r="K27" s="27">
        <f t="shared" si="11"/>
        <v>128.98400000000001</v>
      </c>
      <c r="L27" s="27">
        <f t="shared" ref="L27:U27" si="12">SUM(L24:L26)</f>
        <v>125.07</v>
      </c>
      <c r="M27" s="27">
        <f t="shared" si="12"/>
        <v>120.521</v>
      </c>
      <c r="N27" s="27">
        <f t="shared" si="12"/>
        <v>114.83500000000001</v>
      </c>
      <c r="O27" s="27">
        <f t="shared" si="12"/>
        <v>120.08</v>
      </c>
      <c r="P27" s="27">
        <f t="shared" si="12"/>
        <v>100.61800000000001</v>
      </c>
      <c r="Q27" s="27">
        <f t="shared" si="12"/>
        <v>91.591000000000008</v>
      </c>
      <c r="R27" s="27">
        <f t="shared" si="12"/>
        <v>80.532000000000011</v>
      </c>
      <c r="S27" s="27">
        <f t="shared" si="12"/>
        <v>75.797000000000011</v>
      </c>
      <c r="T27" s="27">
        <f t="shared" si="12"/>
        <v>79.236000000000004</v>
      </c>
      <c r="U27" s="27">
        <f t="shared" si="12"/>
        <v>79.960999999999999</v>
      </c>
      <c r="V27" s="31"/>
      <c r="W27" s="31"/>
      <c r="X27" s="31"/>
    </row>
    <row r="28" spans="1:27" s="24" customFormat="1">
      <c r="AA28" s="88"/>
    </row>
    <row r="29" spans="1:27" s="17" customFormat="1">
      <c r="A29" s="17" t="s">
        <v>58</v>
      </c>
      <c r="B29" s="27"/>
      <c r="C29" s="27">
        <f t="shared" ref="C29:D29" si="13">C22</f>
        <v>18.100000000000001</v>
      </c>
      <c r="D29" s="27">
        <f t="shared" si="13"/>
        <v>21.1</v>
      </c>
      <c r="E29" s="27">
        <f t="shared" ref="E29:F29" si="14">E22</f>
        <v>12.087999999999999</v>
      </c>
      <c r="F29" s="27">
        <f t="shared" si="14"/>
        <v>27.32</v>
      </c>
      <c r="G29" s="27">
        <f t="shared" ref="G29:H29" si="15">G22</f>
        <v>30.373000000000001</v>
      </c>
      <c r="H29" s="27">
        <f t="shared" si="15"/>
        <v>33.685000000000002</v>
      </c>
      <c r="I29" s="27">
        <f t="shared" ref="I29:O29" si="16">I22</f>
        <v>35.491</v>
      </c>
      <c r="J29" s="27">
        <f t="shared" si="16"/>
        <v>32.807000000000002</v>
      </c>
      <c r="K29" s="27">
        <f t="shared" si="16"/>
        <v>30.788</v>
      </c>
      <c r="L29" s="27">
        <f t="shared" si="16"/>
        <v>33.514000000000003</v>
      </c>
      <c r="M29" s="27">
        <f t="shared" si="16"/>
        <v>35.341000000000001</v>
      </c>
      <c r="N29" s="27">
        <f t="shared" si="16"/>
        <v>29.341000000000001</v>
      </c>
      <c r="O29" s="27">
        <f t="shared" si="16"/>
        <v>26.873999999999999</v>
      </c>
      <c r="P29" s="27">
        <f t="shared" ref="P29:X29" si="17">P22</f>
        <v>28.965</v>
      </c>
      <c r="Q29" s="27">
        <f t="shared" si="17"/>
        <v>29.655000000000001</v>
      </c>
      <c r="R29" s="27">
        <f t="shared" si="17"/>
        <v>26.286000000000001</v>
      </c>
      <c r="S29" s="27">
        <f t="shared" si="17"/>
        <v>15.712</v>
      </c>
      <c r="T29" s="27">
        <f t="shared" si="17"/>
        <v>19.938000000000006</v>
      </c>
      <c r="U29" s="27">
        <f t="shared" si="17"/>
        <v>18.596</v>
      </c>
      <c r="V29" s="27">
        <f t="shared" si="17"/>
        <v>21.551000000000002</v>
      </c>
      <c r="W29" s="27">
        <f t="shared" si="17"/>
        <v>19.150999999999996</v>
      </c>
      <c r="X29" s="27">
        <f t="shared" si="17"/>
        <v>20.663</v>
      </c>
      <c r="AA29" s="27"/>
    </row>
    <row r="30" spans="1:27" s="33" customFormat="1">
      <c r="A30" s="20" t="s">
        <v>63</v>
      </c>
      <c r="B30" s="20"/>
      <c r="C30" s="20">
        <f>-7.208-D30-E30</f>
        <v>0.22999999999999998</v>
      </c>
      <c r="D30" s="20">
        <f>-7.438-E30</f>
        <v>-5.0990000000000002</v>
      </c>
      <c r="E30" s="20">
        <v>-2.339</v>
      </c>
      <c r="F30" s="20">
        <f>-11.555-G30-H30-I30</f>
        <v>-3.0139999999999993</v>
      </c>
      <c r="G30" s="20">
        <f>-8.541-H30-I30</f>
        <v>-2.6150000000000002</v>
      </c>
      <c r="H30" s="20">
        <f>-5.926-I30</f>
        <v>-2.726</v>
      </c>
      <c r="I30" s="20">
        <v>-3.2</v>
      </c>
      <c r="J30" s="20">
        <f>-14.411-K30-L30-M30</f>
        <v>-3.2899999999999983</v>
      </c>
      <c r="K30" s="20">
        <f>-11.121-L30-M30</f>
        <v>-3.7280000000000015</v>
      </c>
      <c r="L30" s="20">
        <f>-7.393-M30</f>
        <v>-3.085</v>
      </c>
      <c r="M30" s="20">
        <v>-4.3079999999999998</v>
      </c>
      <c r="N30" s="20">
        <f>-18.914-Q30-P30-O30</f>
        <v>-4.5970000000000022</v>
      </c>
      <c r="O30" s="20">
        <f>-14.317-P30-Q30</f>
        <v>-4.9509999999999996</v>
      </c>
      <c r="P30" s="20">
        <f>-9.366-Q30</f>
        <v>-4.7359999999999998</v>
      </c>
      <c r="Q30" s="20">
        <v>-4.63</v>
      </c>
      <c r="R30" s="20">
        <f>-10.633-U30-T30-S30</f>
        <v>-3.5529999999999982</v>
      </c>
      <c r="S30" s="20">
        <f>-7.08-U30-T30</f>
        <v>-2.2169999999999996</v>
      </c>
      <c r="T30" s="20">
        <f>-4.863-U30</f>
        <v>-2.3740000000000006</v>
      </c>
      <c r="U30" s="20">
        <v>-2.4889999999999999</v>
      </c>
      <c r="V30" s="20">
        <f>-7.649+4.859</f>
        <v>-2.79</v>
      </c>
      <c r="W30" s="20">
        <f>-4.859+2.486</f>
        <v>-2.3729999999999998</v>
      </c>
      <c r="X30" s="20">
        <f>-2.486-(-1.019)</f>
        <v>-1.4670000000000003</v>
      </c>
    </row>
    <row r="31" spans="1:27" s="33" customFormat="1">
      <c r="A31" s="20" t="s">
        <v>64</v>
      </c>
      <c r="B31" s="20"/>
      <c r="C31" s="20">
        <f>-4.325-D31-E31</f>
        <v>-3.0910000000000002</v>
      </c>
      <c r="D31" s="20">
        <f>-1.234-E31</f>
        <v>-0.47199999999999998</v>
      </c>
      <c r="E31" s="20">
        <v>-0.76200000000000001</v>
      </c>
      <c r="F31" s="20">
        <f>-11.601-G31-H31-I31</f>
        <v>-7.620000000000001</v>
      </c>
      <c r="G31" s="20">
        <f>-3.981-H31-I31</f>
        <v>-1.1029999999999995</v>
      </c>
      <c r="H31" s="20">
        <f>-2.878-I31</f>
        <v>-1.4770000000000001</v>
      </c>
      <c r="I31" s="20">
        <v>-1.401</v>
      </c>
      <c r="J31" s="20">
        <f>-4.84-K31-L31-M31</f>
        <v>-0.85799999999999976</v>
      </c>
      <c r="K31" s="20">
        <f>-3.982-L31-M31</f>
        <v>-1.9889999999999999</v>
      </c>
      <c r="L31" s="20">
        <f>-1.993-M31</f>
        <v>-1.4620000000000002</v>
      </c>
      <c r="M31" s="20">
        <v>-0.53100000000000003</v>
      </c>
      <c r="N31" s="20">
        <f>-0.706-Q31-P31-O31</f>
        <v>-0.17500000000000004</v>
      </c>
      <c r="O31" s="20">
        <f>-0.531-P31-Q31</f>
        <v>-0.66999999999999993</v>
      </c>
      <c r="P31" s="20">
        <f>0.139-Q31</f>
        <v>1.026</v>
      </c>
      <c r="Q31" s="20">
        <v>-0.88700000000000001</v>
      </c>
      <c r="R31" s="20">
        <f>-1.893-U31-T31-S31</f>
        <v>-0.9830000000000001</v>
      </c>
      <c r="S31" s="20">
        <f>-0.91-U31-T31</f>
        <v>0.12899999999999995</v>
      </c>
      <c r="T31" s="20">
        <f>-1.039-U31</f>
        <v>-0.61099999999999999</v>
      </c>
      <c r="U31" s="20">
        <v>-0.42799999999999999</v>
      </c>
      <c r="V31" s="20">
        <f>-4.175+3.315</f>
        <v>-0.85999999999999988</v>
      </c>
      <c r="W31" s="20">
        <f>-3.315+2.407</f>
        <v>-0.90799999999999992</v>
      </c>
      <c r="X31" s="20">
        <f>-2.407-(1.309)</f>
        <v>-3.7160000000000002</v>
      </c>
    </row>
    <row r="32" spans="1:27" s="33" customFormat="1">
      <c r="A32" s="20" t="s">
        <v>65</v>
      </c>
      <c r="B32" s="20"/>
      <c r="C32" s="20">
        <f>34.254+20.786-1.564+0.545-8.764-9.922-5.347-D32-E32</f>
        <v>8.3890000000000029</v>
      </c>
      <c r="D32" s="20">
        <f>33.594+18.987-1.627+0.57-20.078-7.895-1.952-E32</f>
        <v>21.535000000000007</v>
      </c>
      <c r="E32" s="20">
        <f>27.955+3.924-2.766-0.039-18.248-7.926-2.836</f>
        <v>6.3999999999996948E-2</v>
      </c>
      <c r="F32" s="20">
        <f>2.899+15.752-3.857+0.724+8.11-14.304-13.389-G32-H32-I32</f>
        <v>10.351000000000006</v>
      </c>
      <c r="G32" s="20">
        <f>3.989+10.87-3.224+0.726-3.013-11.458-12.306-H32-I32</f>
        <v>7.1679999999999993</v>
      </c>
      <c r="H32" s="20">
        <f>-2.648+1.4-2.883-0.171+0.332-8.23-9.384-I32</f>
        <v>11.046999999999997</v>
      </c>
      <c r="I32" s="20">
        <f>-5.827-3.879-1.755+0.107-6.8-6.322-8.155</f>
        <v>-32.631</v>
      </c>
      <c r="J32" s="20">
        <f>-11.328-15.411-0.128+0.231+3.881+6.397-13.156-K32-L32-M32</f>
        <v>-4.6879999999999953</v>
      </c>
      <c r="K32" s="20">
        <f>-1.407-13.043-0.103+0.232-5.33+3.558-8.733-L32-M32</f>
        <v>1.7770000000000046</v>
      </c>
      <c r="L32" s="20">
        <f>-8.236-11.531-0.906+0.487-4.268+1.511-3.66-M32</f>
        <v>-7.1830000000000069</v>
      </c>
      <c r="M32" s="20">
        <f>-5.553-8.088-0.296+0.374-2.488-2.684-0.685</f>
        <v>-19.419999999999998</v>
      </c>
      <c r="N32" s="20">
        <f>-9.308-12.249+1.727+3.338+3.833+11.918-16.7-Q32-P32-O32</f>
        <v>-1.8049999999999979</v>
      </c>
      <c r="O32" s="20">
        <f>-6.516-6.456-0.13+2.803+0.389+5.388-11.114-P32-Q32</f>
        <v>-1.5890000000000022</v>
      </c>
      <c r="P32" s="20">
        <f>-10.098-2.23+0.916+2.463-0.307+3.452-8.243-Q32</f>
        <v>0.70599999999999774</v>
      </c>
      <c r="Q32" s="20">
        <f>-5.092-0.506-1.977+2.271-1.298-2.644-5.507</f>
        <v>-14.753</v>
      </c>
      <c r="R32" s="20">
        <f>-0.785+8.173+6.121-3.044+1.002-2.38-3.085-U32-T32-S32</f>
        <v>-13.151999999999997</v>
      </c>
      <c r="S32" s="20">
        <f>6.909+5.267+8.153-0.483+5.465+2.082-8.239-U32-T32</f>
        <v>23.492999999999999</v>
      </c>
      <c r="T32" s="20">
        <f>3.049+1.152+5.102-0.227-3.112-2.801-7.502-U32</f>
        <v>3.0530000000000017</v>
      </c>
      <c r="U32" s="20">
        <f>4.018-1.896+3.049-0.025-2.557-3.485-6.496</f>
        <v>-7.3920000000000012</v>
      </c>
      <c r="V32" s="20">
        <f>12.409+2.483-0.375+3.179-5.308-5.799-6.516-(13.451-0.79+2.1+3.249-9.713+2.856-9.52)</f>
        <v>-1.5600000000000014</v>
      </c>
      <c r="W32" s="20">
        <f>13.451-0.79+2.1+3.249-9.713+2.856-9.52-(3.631-6.15+0.776+3.873-6.983+1.449-10.054)</f>
        <v>15.091000000000003</v>
      </c>
      <c r="X32" s="20">
        <f>3.631-6.15+0.776+3.873-6.983+1.449-10.054-(9.621-6.027+2.164+3.286-5.575-0.902-10.212)</f>
        <v>-5.8130000000000006</v>
      </c>
    </row>
    <row r="33" spans="1:27" s="33" customFormat="1">
      <c r="A33" s="20" t="s">
        <v>66</v>
      </c>
      <c r="B33" s="20"/>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c r="W33" s="20">
        <v>0</v>
      </c>
      <c r="X33" s="20">
        <v>0</v>
      </c>
    </row>
    <row r="34" spans="1:27" s="33" customFormat="1">
      <c r="A34" s="20" t="s">
        <v>57</v>
      </c>
      <c r="B34" s="29"/>
      <c r="C34" s="29">
        <f t="shared" ref="C34:E34" si="18">C35-SUM(C29:C33)</f>
        <v>1.3769999999999918</v>
      </c>
      <c r="D34" s="29">
        <f t="shared" si="18"/>
        <v>0.36299999999999244</v>
      </c>
      <c r="E34" s="29">
        <f t="shared" si="18"/>
        <v>0.46500000000000519</v>
      </c>
      <c r="F34" s="29">
        <f t="shared" ref="F34:I34" si="19">F35-SUM(F29:F33)</f>
        <v>9.5060000000000002</v>
      </c>
      <c r="G34" s="29">
        <f t="shared" si="19"/>
        <v>-1.4510000000000218</v>
      </c>
      <c r="H34" s="29">
        <f t="shared" si="19"/>
        <v>-0.48899999999999011</v>
      </c>
      <c r="I34" s="29">
        <f t="shared" si="19"/>
        <v>-0.41899999999999693</v>
      </c>
      <c r="J34" s="29">
        <f t="shared" ref="J34:P34" si="20">J35-SUM(J29:J33)</f>
        <v>1.7319999999999887</v>
      </c>
      <c r="K34" s="29">
        <f t="shared" si="20"/>
        <v>-0.64100000000000179</v>
      </c>
      <c r="L34" s="29">
        <f t="shared" si="20"/>
        <v>-2.3129999999999988</v>
      </c>
      <c r="M34" s="29">
        <f t="shared" si="20"/>
        <v>-2.964000000000004</v>
      </c>
      <c r="N34" s="29">
        <f t="shared" si="20"/>
        <v>-4.3460000000000036</v>
      </c>
      <c r="O34" s="29">
        <f t="shared" si="20"/>
        <v>-3.2039999999999971</v>
      </c>
      <c r="P34" s="29">
        <f t="shared" si="20"/>
        <v>-5.617999999999995</v>
      </c>
      <c r="Q34" s="29">
        <f t="shared" ref="Q34:X34" si="21">Q35-SUM(Q29:Q33)</f>
        <v>5.0549999999999979</v>
      </c>
      <c r="R34" s="29">
        <f t="shared" si="21"/>
        <v>3.3319999999999936</v>
      </c>
      <c r="S34" s="29">
        <f t="shared" si="21"/>
        <v>-14.245999999999995</v>
      </c>
      <c r="T34" s="29">
        <f t="shared" si="21"/>
        <v>-1.5620000000000047</v>
      </c>
      <c r="U34" s="29">
        <f t="shared" si="21"/>
        <v>-1.0819999999999972</v>
      </c>
      <c r="V34" s="29">
        <f t="shared" si="21"/>
        <v>3.402000000000001</v>
      </c>
      <c r="W34" s="29">
        <f t="shared" si="21"/>
        <v>-2.1759999999999984</v>
      </c>
      <c r="X34" s="29">
        <f t="shared" si="21"/>
        <v>-8.7519999999999989</v>
      </c>
    </row>
    <row r="35" spans="1:27" s="27" customFormat="1">
      <c r="A35" s="27" t="s">
        <v>67</v>
      </c>
      <c r="C35" s="27">
        <f>71.948-D35-E35</f>
        <v>25.004999999999995</v>
      </c>
      <c r="D35" s="27">
        <f>46.943-E35</f>
        <v>37.427</v>
      </c>
      <c r="E35" s="27">
        <v>9.516</v>
      </c>
      <c r="F35" s="27">
        <f>106.795-G35-I35-H35</f>
        <v>36.543000000000006</v>
      </c>
      <c r="G35" s="27">
        <f>70.252-H35-I35</f>
        <v>32.371999999999986</v>
      </c>
      <c r="H35" s="27">
        <f>37.88-I35</f>
        <v>40.040000000000006</v>
      </c>
      <c r="I35" s="27">
        <v>-2.16</v>
      </c>
      <c r="J35" s="27">
        <f>79.499-K35-L35-M35</f>
        <v>25.702999999999996</v>
      </c>
      <c r="K35" s="27">
        <f>53.796-L35-M35</f>
        <v>26.207000000000001</v>
      </c>
      <c r="L35" s="27">
        <f>27.589-M35</f>
        <v>19.470999999999997</v>
      </c>
      <c r="M35" s="27">
        <v>8.1180000000000003</v>
      </c>
      <c r="N35" s="27">
        <f>69.661-Q35-P35-O35</f>
        <v>18.417999999999999</v>
      </c>
      <c r="O35" s="27">
        <f>51.243-P35-Q35</f>
        <v>16.46</v>
      </c>
      <c r="P35" s="27">
        <f>34.783-Q35</f>
        <v>20.343000000000004</v>
      </c>
      <c r="Q35" s="27">
        <v>14.44</v>
      </c>
      <c r="R35" s="27">
        <f>60.45-U35-T35-S35</f>
        <v>11.93</v>
      </c>
      <c r="S35" s="27">
        <f>48.52-U35-T35</f>
        <v>22.871000000000002</v>
      </c>
      <c r="T35" s="27">
        <f>25.649-U35</f>
        <v>18.444000000000003</v>
      </c>
      <c r="U35" s="27">
        <v>7.2050000000000001</v>
      </c>
      <c r="V35" s="27">
        <f>52.645-32.902</f>
        <v>19.743000000000002</v>
      </c>
      <c r="W35" s="27">
        <f>32.902-4.117</f>
        <v>28.785</v>
      </c>
      <c r="X35" s="27">
        <f>4.117-3.202</f>
        <v>0.91500000000000004</v>
      </c>
    </row>
    <row r="36" spans="1:27" s="33" customFormat="1">
      <c r="A36" s="20" t="s">
        <v>68</v>
      </c>
      <c r="B36" s="29"/>
      <c r="C36" s="29">
        <f>-5.904-D36-E36</f>
        <v>-3.125</v>
      </c>
      <c r="D36" s="29">
        <f>-2.779-E36</f>
        <v>-1.6909999999999998</v>
      </c>
      <c r="E36" s="29">
        <v>-1.0880000000000001</v>
      </c>
      <c r="F36" s="29">
        <f>-9.432-G36-H36-I36</f>
        <v>-2.6710000000000003</v>
      </c>
      <c r="G36" s="29">
        <f>-6.761-H36-I36</f>
        <v>-1.9180000000000001</v>
      </c>
      <c r="H36" s="29">
        <f>-4.843-I36</f>
        <v>-2.9889999999999999</v>
      </c>
      <c r="I36" s="29">
        <v>-1.8540000000000001</v>
      </c>
      <c r="J36" s="29">
        <f>-12.288-K36-L36-M36</f>
        <v>-5.0520000000000005</v>
      </c>
      <c r="K36" s="29">
        <f>-7.236-L36-M36</f>
        <v>-2.3889999999999993</v>
      </c>
      <c r="L36" s="29">
        <f>-4.847-M36</f>
        <v>-2.5090000000000003</v>
      </c>
      <c r="M36" s="29">
        <v>-2.3380000000000001</v>
      </c>
      <c r="N36" s="29">
        <f>-14.515-Q36-P36-O36</f>
        <v>-5.1309999999999993</v>
      </c>
      <c r="O36" s="29">
        <f>-9.384-P36-Q36</f>
        <v>-3.3020000000000005</v>
      </c>
      <c r="P36" s="29">
        <f>-6.082-Q36</f>
        <v>-4.1539999999999999</v>
      </c>
      <c r="Q36" s="29">
        <v>-1.9279999999999999</v>
      </c>
      <c r="R36" s="29">
        <f>-14.368-U36-T36-S36</f>
        <v>-3.0940000000000012</v>
      </c>
      <c r="S36" s="29">
        <f>-11.274-U36-T36</f>
        <v>-2.8239999999999998</v>
      </c>
      <c r="T36" s="29">
        <f>-8.45-U36</f>
        <v>-4.1489999999999991</v>
      </c>
      <c r="U36" s="29">
        <v>-4.3010000000000002</v>
      </c>
      <c r="V36" s="29">
        <f>-22.32+15.518</f>
        <v>-6.8019999999999996</v>
      </c>
      <c r="W36" s="29">
        <f>-15.518+8.707</f>
        <v>-6.8109999999999999</v>
      </c>
      <c r="X36" s="29">
        <f>-8.707+4.079</f>
        <v>-4.628000000000001</v>
      </c>
    </row>
    <row r="37" spans="1:27" s="27" customFormat="1">
      <c r="A37" s="27" t="s">
        <v>69</v>
      </c>
      <c r="C37" s="27">
        <f t="shared" ref="C37:X37" si="22">+C35+C36</f>
        <v>21.879999999999995</v>
      </c>
      <c r="D37" s="27">
        <f t="shared" si="22"/>
        <v>35.735999999999997</v>
      </c>
      <c r="E37" s="27">
        <f t="shared" si="22"/>
        <v>8.4280000000000008</v>
      </c>
      <c r="F37" s="27">
        <f t="shared" si="22"/>
        <v>33.872000000000007</v>
      </c>
      <c r="G37" s="27">
        <f t="shared" si="22"/>
        <v>30.453999999999986</v>
      </c>
      <c r="H37" s="27">
        <f t="shared" si="22"/>
        <v>37.051000000000009</v>
      </c>
      <c r="I37" s="27">
        <f t="shared" si="22"/>
        <v>-4.0140000000000002</v>
      </c>
      <c r="J37" s="27">
        <f t="shared" si="22"/>
        <v>20.650999999999996</v>
      </c>
      <c r="K37" s="27">
        <f t="shared" si="22"/>
        <v>23.818000000000001</v>
      </c>
      <c r="L37" s="27">
        <f t="shared" si="22"/>
        <v>16.961999999999996</v>
      </c>
      <c r="M37" s="27">
        <f t="shared" si="22"/>
        <v>5.78</v>
      </c>
      <c r="N37" s="27">
        <f t="shared" si="22"/>
        <v>13.286999999999999</v>
      </c>
      <c r="O37" s="27">
        <f t="shared" si="22"/>
        <v>13.158000000000001</v>
      </c>
      <c r="P37" s="27">
        <f t="shared" si="22"/>
        <v>16.189000000000004</v>
      </c>
      <c r="Q37" s="27">
        <f t="shared" si="22"/>
        <v>12.512</v>
      </c>
      <c r="R37" s="27">
        <f t="shared" si="22"/>
        <v>8.8359999999999985</v>
      </c>
      <c r="S37" s="27">
        <f t="shared" si="22"/>
        <v>20.047000000000004</v>
      </c>
      <c r="T37" s="27">
        <f t="shared" si="22"/>
        <v>14.295000000000003</v>
      </c>
      <c r="U37" s="27">
        <f t="shared" si="22"/>
        <v>2.9039999999999999</v>
      </c>
      <c r="V37" s="27">
        <f t="shared" si="22"/>
        <v>12.941000000000003</v>
      </c>
      <c r="W37" s="27">
        <f t="shared" si="22"/>
        <v>21.974</v>
      </c>
      <c r="X37" s="27">
        <f t="shared" si="22"/>
        <v>-3.713000000000001</v>
      </c>
    </row>
    <row r="38" spans="1:27">
      <c r="B38" s="48"/>
      <c r="C38" s="48"/>
      <c r="D38" s="48"/>
      <c r="E38" s="48"/>
      <c r="AA38" s="33"/>
    </row>
    <row r="39" spans="1:27" s="35" customFormat="1">
      <c r="A39" s="34" t="s">
        <v>70</v>
      </c>
      <c r="B39" s="20">
        <v>0</v>
      </c>
      <c r="C39" s="20">
        <v>0</v>
      </c>
      <c r="D39" s="20">
        <v>25</v>
      </c>
      <c r="E39" s="20">
        <v>25</v>
      </c>
      <c r="F39" s="20">
        <v>0</v>
      </c>
      <c r="G39" s="20">
        <v>0</v>
      </c>
      <c r="H39" s="20">
        <v>0</v>
      </c>
      <c r="I39" s="20">
        <v>0</v>
      </c>
      <c r="J39" s="20">
        <v>0</v>
      </c>
      <c r="K39" s="20">
        <v>0</v>
      </c>
      <c r="L39" s="20">
        <v>0</v>
      </c>
      <c r="M39" s="20">
        <v>0</v>
      </c>
      <c r="N39" s="20">
        <v>0</v>
      </c>
      <c r="O39" s="20">
        <v>0</v>
      </c>
      <c r="P39" s="20">
        <v>0</v>
      </c>
      <c r="Q39" s="20">
        <v>4.9740000000000002</v>
      </c>
      <c r="R39" s="20">
        <v>0</v>
      </c>
      <c r="S39" s="20">
        <v>131.5</v>
      </c>
      <c r="T39" s="20">
        <v>134</v>
      </c>
      <c r="U39" s="20">
        <v>141.5</v>
      </c>
      <c r="V39" s="20"/>
      <c r="W39" s="20"/>
      <c r="X39" s="20"/>
      <c r="Z39" s="33"/>
      <c r="AA39" s="33"/>
    </row>
    <row r="40" spans="1:27" s="35" customFormat="1">
      <c r="A40" s="34" t="s">
        <v>71</v>
      </c>
      <c r="B40" s="20">
        <v>450</v>
      </c>
      <c r="C40" s="20">
        <f>245.092+4.45</f>
        <v>249.542</v>
      </c>
      <c r="D40" s="20">
        <f>275.1-D39</f>
        <v>250.10000000000002</v>
      </c>
      <c r="E40" s="20">
        <f>246.268+29.45-E39</f>
        <v>250.71800000000002</v>
      </c>
      <c r="F40" s="20">
        <v>259.35000000000002</v>
      </c>
      <c r="G40" s="20">
        <v>260.46300000000002</v>
      </c>
      <c r="H40" s="20">
        <v>280.46300000000002</v>
      </c>
      <c r="I40" s="20">
        <v>300.46300000000002</v>
      </c>
      <c r="J40" s="20">
        <v>310.46300000000002</v>
      </c>
      <c r="K40" s="20">
        <v>325.56100000000004</v>
      </c>
      <c r="L40" s="20">
        <v>350.46300000000002</v>
      </c>
      <c r="M40" s="20">
        <v>365.46300000000002</v>
      </c>
      <c r="N40" s="20">
        <f>375.463+0.098</f>
        <v>375.56100000000004</v>
      </c>
      <c r="O40" s="20">
        <f>390.463+0.193</f>
        <v>390.65600000000001</v>
      </c>
      <c r="P40" s="20">
        <f>405.575+0.266</f>
        <v>405.84100000000001</v>
      </c>
      <c r="Q40" s="20">
        <f>421.388+0.446</f>
        <v>421.834</v>
      </c>
      <c r="R40" s="20">
        <f>432.5+2.608+0.551</f>
        <v>435.65899999999999</v>
      </c>
      <c r="S40" s="20">
        <f>103.125+0.136</f>
        <v>103.261</v>
      </c>
      <c r="T40" s="20">
        <f>106.25+0.278</f>
        <v>106.52800000000001</v>
      </c>
      <c r="U40" s="20">
        <f>109.375+0.457</f>
        <v>109.83199999999999</v>
      </c>
      <c r="V40" s="20"/>
      <c r="W40" s="20"/>
      <c r="X40" s="20"/>
      <c r="Z40" s="33"/>
      <c r="AA40" s="33"/>
    </row>
    <row r="41" spans="1:27" s="35" customFormat="1">
      <c r="A41" s="34" t="s">
        <v>72</v>
      </c>
      <c r="B41" s="20">
        <f>B39+B40</f>
        <v>450</v>
      </c>
      <c r="C41" s="20">
        <f t="shared" ref="C41:O41" si="23">C39+C40</f>
        <v>249.542</v>
      </c>
      <c r="D41" s="20">
        <f t="shared" si="23"/>
        <v>275.10000000000002</v>
      </c>
      <c r="E41" s="20">
        <f t="shared" si="23"/>
        <v>275.71800000000002</v>
      </c>
      <c r="F41" s="20">
        <f t="shared" si="23"/>
        <v>259.35000000000002</v>
      </c>
      <c r="G41" s="20">
        <f t="shared" si="23"/>
        <v>260.46300000000002</v>
      </c>
      <c r="H41" s="20">
        <f t="shared" si="23"/>
        <v>280.46300000000002</v>
      </c>
      <c r="I41" s="20">
        <f t="shared" si="23"/>
        <v>300.46300000000002</v>
      </c>
      <c r="J41" s="20">
        <f t="shared" si="23"/>
        <v>310.46300000000002</v>
      </c>
      <c r="K41" s="20">
        <f t="shared" si="23"/>
        <v>325.56100000000004</v>
      </c>
      <c r="L41" s="20">
        <f t="shared" si="23"/>
        <v>350.46300000000002</v>
      </c>
      <c r="M41" s="20">
        <f t="shared" si="23"/>
        <v>365.46300000000002</v>
      </c>
      <c r="N41" s="20">
        <f t="shared" si="23"/>
        <v>375.56100000000004</v>
      </c>
      <c r="O41" s="20">
        <f t="shared" si="23"/>
        <v>390.65600000000001</v>
      </c>
      <c r="P41" s="20">
        <f t="shared" ref="P41:U41" si="24">P39+P40</f>
        <v>405.84100000000001</v>
      </c>
      <c r="Q41" s="20">
        <f t="shared" si="24"/>
        <v>426.80799999999999</v>
      </c>
      <c r="R41" s="20">
        <f t="shared" si="24"/>
        <v>435.65899999999999</v>
      </c>
      <c r="S41" s="20">
        <f t="shared" si="24"/>
        <v>234.761</v>
      </c>
      <c r="T41" s="20">
        <f t="shared" si="24"/>
        <v>240.52800000000002</v>
      </c>
      <c r="U41" s="20">
        <f t="shared" si="24"/>
        <v>251.33199999999999</v>
      </c>
      <c r="V41" s="20"/>
      <c r="W41" s="20"/>
      <c r="X41" s="20"/>
      <c r="Z41" s="33"/>
      <c r="AA41" s="33"/>
    </row>
    <row r="42" spans="1:27" s="35" customFormat="1">
      <c r="A42" s="34" t="s">
        <v>73</v>
      </c>
      <c r="B42" s="36">
        <v>1437</v>
      </c>
      <c r="C42" s="36">
        <f>23971897/1000000*41.91</f>
        <v>1004.6622032699998</v>
      </c>
      <c r="D42" s="36">
        <f>23898867/1000000*36.77</f>
        <v>878.76133959000003</v>
      </c>
      <c r="E42" s="36">
        <f>23882051/1000000*33.26</f>
        <v>794.31701625999995</v>
      </c>
      <c r="F42" s="36">
        <f>23786363/1000000*30.41</f>
        <v>723.34329883000009</v>
      </c>
      <c r="G42" s="36">
        <f>23699964/1000000*37.98</f>
        <v>900.12463272000002</v>
      </c>
      <c r="H42" s="36">
        <f>23674345/1000000*40.75</f>
        <v>964.72955874999991</v>
      </c>
      <c r="I42" s="36">
        <f>23621376/1000000*36.63</f>
        <v>865.2510028800001</v>
      </c>
      <c r="J42" s="36">
        <f>23403782/1000000*36.7</f>
        <v>858.91879940000001</v>
      </c>
      <c r="K42" s="36">
        <v>824.9</v>
      </c>
      <c r="L42" s="36">
        <f>(23345882/1000000)*30.77</f>
        <v>718.35278914000003</v>
      </c>
      <c r="M42" s="36">
        <f>23272187/1000000*41.32</f>
        <v>961.60676683999998</v>
      </c>
      <c r="N42" s="36">
        <f>23090255/1000000*35.84</f>
        <v>827.55473920000009</v>
      </c>
      <c r="O42" s="36">
        <f>23021510/1000000*41.37</f>
        <v>952.39986869999996</v>
      </c>
      <c r="P42" s="36">
        <f>22998460/1000000*39.98</f>
        <v>919.47843079999996</v>
      </c>
      <c r="Q42" s="36">
        <f>22625314/1000000*36.7</f>
        <v>830.34902380000005</v>
      </c>
      <c r="R42" s="36">
        <f>22596824/1000000*24.36</f>
        <v>550.45863264000002</v>
      </c>
      <c r="S42" s="36">
        <f>20247726/1000000*28.23</f>
        <v>571.59330497999997</v>
      </c>
      <c r="T42" s="36">
        <f>20234389/1000000*17.37</f>
        <v>351.47133693000001</v>
      </c>
      <c r="U42" s="36">
        <f>20195564/1000000*16.59</f>
        <v>335.04440676000002</v>
      </c>
      <c r="V42" s="36"/>
      <c r="W42" s="36"/>
      <c r="X42" s="36"/>
    </row>
    <row r="43" spans="1:27">
      <c r="B43" s="35"/>
      <c r="C43" s="35"/>
      <c r="D43" s="35"/>
      <c r="E43" s="35"/>
      <c r="F43" s="35"/>
      <c r="G43" s="35"/>
      <c r="H43" s="35"/>
      <c r="I43" s="35"/>
      <c r="J43" s="35"/>
      <c r="K43" s="35"/>
      <c r="L43" s="35"/>
      <c r="M43" s="35"/>
      <c r="N43" s="35"/>
      <c r="O43" s="35"/>
      <c r="P43" s="35"/>
      <c r="Q43" s="35"/>
      <c r="R43" s="35"/>
      <c r="S43" s="35"/>
    </row>
    <row r="44" spans="1:27">
      <c r="A44" s="19" t="s">
        <v>74</v>
      </c>
      <c r="B44" s="28">
        <v>78</v>
      </c>
      <c r="C44" s="28">
        <v>187.626</v>
      </c>
      <c r="D44" s="28">
        <v>186.55600000000001</v>
      </c>
      <c r="E44" s="28">
        <v>152.23599999999999</v>
      </c>
      <c r="F44" s="28">
        <v>114.45</v>
      </c>
      <c r="G44" s="28">
        <v>84.013999999999996</v>
      </c>
      <c r="H44" s="28">
        <v>71.978999999999999</v>
      </c>
      <c r="I44" s="28">
        <v>55.716000000000001</v>
      </c>
      <c r="J44" s="28">
        <v>71.093000000000004</v>
      </c>
      <c r="K44" s="28">
        <v>58.079000000000001</v>
      </c>
      <c r="L44" s="28">
        <v>57.680999999999997</v>
      </c>
      <c r="M44" s="28">
        <v>57.131</v>
      </c>
      <c r="N44" s="28">
        <v>63.021000000000001</v>
      </c>
      <c r="O44" s="28">
        <v>64.597999999999999</v>
      </c>
      <c r="P44" s="28">
        <v>69.454999999999998</v>
      </c>
      <c r="Q44" s="28">
        <v>64.613</v>
      </c>
      <c r="R44" s="28">
        <v>77.590999999999994</v>
      </c>
      <c r="S44" s="28">
        <v>51.537999999999997</v>
      </c>
      <c r="T44" s="28">
        <v>45.704999999999998</v>
      </c>
      <c r="U44" s="28">
        <v>43.162999999999997</v>
      </c>
      <c r="V44" s="28"/>
      <c r="W44" s="28"/>
      <c r="X44" s="28"/>
    </row>
    <row r="46" spans="1:27">
      <c r="A46" s="14" t="s">
        <v>75</v>
      </c>
      <c r="B46" s="51">
        <f>652.893+98.483</f>
        <v>751.37599999999998</v>
      </c>
      <c r="C46" s="33">
        <f t="shared" ref="C46:U46" si="25">SUM(C12:F12)</f>
        <v>652.89300000000003</v>
      </c>
      <c r="D46" s="33">
        <f t="shared" si="25"/>
        <v>685.70100000000002</v>
      </c>
      <c r="E46" s="33">
        <f t="shared" si="25"/>
        <v>735.52</v>
      </c>
      <c r="F46" s="33">
        <f t="shared" si="25"/>
        <v>809.16200000000003</v>
      </c>
      <c r="G46" s="33">
        <f t="shared" si="25"/>
        <v>836.40899999999999</v>
      </c>
      <c r="H46" s="33">
        <f t="shared" si="25"/>
        <v>854.46900000000005</v>
      </c>
      <c r="I46" s="33">
        <f t="shared" si="25"/>
        <v>864.00199999999995</v>
      </c>
      <c r="J46" s="33">
        <f t="shared" si="25"/>
        <v>876.28200000000004</v>
      </c>
      <c r="K46" s="33">
        <f t="shared" si="25"/>
        <v>873.68899999999996</v>
      </c>
      <c r="L46" s="33">
        <f t="shared" si="25"/>
        <v>864.99900000000002</v>
      </c>
      <c r="M46" s="33">
        <f t="shared" si="25"/>
        <v>860.68499999999995</v>
      </c>
      <c r="N46" s="33">
        <f t="shared" si="25"/>
        <v>839.41899999999998</v>
      </c>
      <c r="O46" s="33">
        <f t="shared" si="25"/>
        <v>808.96699999999998</v>
      </c>
      <c r="P46" s="33">
        <f t="shared" si="25"/>
        <v>752.73900000000003</v>
      </c>
      <c r="Q46" s="33">
        <f t="shared" si="25"/>
        <v>691.83600000000001</v>
      </c>
      <c r="R46" s="33">
        <f t="shared" si="25"/>
        <v>637.12300000000005</v>
      </c>
      <c r="S46" s="33">
        <f t="shared" si="25"/>
        <v>608.52300000000002</v>
      </c>
      <c r="T46" s="33">
        <f t="shared" si="25"/>
        <v>615.7639999999999</v>
      </c>
      <c r="U46" s="33">
        <f t="shared" si="25"/>
        <v>609.88</v>
      </c>
    </row>
    <row r="47" spans="1:27">
      <c r="A47" s="14" t="s">
        <v>76</v>
      </c>
      <c r="B47" s="51">
        <f>82+25+5</f>
        <v>112</v>
      </c>
      <c r="C47" s="33">
        <f t="shared" ref="C47:D47" si="26">+C27</f>
        <v>78.608000000000004</v>
      </c>
      <c r="D47" s="33">
        <f t="shared" si="26"/>
        <v>90.881</v>
      </c>
      <c r="E47" s="33">
        <f t="shared" ref="E47:F47" si="27">+E27</f>
        <v>103.46600000000001</v>
      </c>
      <c r="F47" s="33">
        <f t="shared" si="27"/>
        <v>126.869</v>
      </c>
      <c r="G47" s="33">
        <f t="shared" ref="G47:H47" si="28">+G27</f>
        <v>132.35599999999999</v>
      </c>
      <c r="H47" s="33">
        <f t="shared" si="28"/>
        <v>132.77100000000002</v>
      </c>
      <c r="I47" s="33">
        <f t="shared" ref="I47:N47" si="29">+I27</f>
        <v>132.6</v>
      </c>
      <c r="J47" s="33">
        <f t="shared" si="29"/>
        <v>132.45000000000002</v>
      </c>
      <c r="K47" s="33">
        <f t="shared" si="29"/>
        <v>128.98400000000001</v>
      </c>
      <c r="L47" s="33">
        <f t="shared" si="29"/>
        <v>125.07</v>
      </c>
      <c r="M47" s="33">
        <f t="shared" si="29"/>
        <v>120.521</v>
      </c>
      <c r="N47" s="33">
        <f t="shared" si="29"/>
        <v>114.83500000000001</v>
      </c>
      <c r="O47" s="33">
        <f t="shared" ref="O47:U47" si="30">+O27</f>
        <v>120.08</v>
      </c>
      <c r="P47" s="33">
        <f t="shared" si="30"/>
        <v>100.61800000000001</v>
      </c>
      <c r="Q47" s="33">
        <f t="shared" si="30"/>
        <v>91.591000000000008</v>
      </c>
      <c r="R47" s="33">
        <f t="shared" si="30"/>
        <v>80.532000000000011</v>
      </c>
      <c r="S47" s="33">
        <f t="shared" si="30"/>
        <v>75.797000000000011</v>
      </c>
      <c r="T47" s="33">
        <f t="shared" si="30"/>
        <v>79.236000000000004</v>
      </c>
      <c r="U47" s="33">
        <f t="shared" si="30"/>
        <v>79.960999999999999</v>
      </c>
    </row>
    <row r="48" spans="1:27">
      <c r="A48" s="14" t="s">
        <v>77</v>
      </c>
      <c r="B48" s="33"/>
      <c r="C48" s="33">
        <f t="shared" ref="C48:O48" si="31">+SUM(C37:F37)</f>
        <v>99.915999999999997</v>
      </c>
      <c r="D48" s="33">
        <f t="shared" si="31"/>
        <v>108.48999999999998</v>
      </c>
      <c r="E48" s="33">
        <f t="shared" si="31"/>
        <v>109.80500000000001</v>
      </c>
      <c r="F48" s="33">
        <f t="shared" si="31"/>
        <v>97.363000000000014</v>
      </c>
      <c r="G48" s="33">
        <f t="shared" si="31"/>
        <v>84.141999999999996</v>
      </c>
      <c r="H48" s="33">
        <f t="shared" si="31"/>
        <v>77.506</v>
      </c>
      <c r="I48" s="33">
        <f t="shared" si="31"/>
        <v>57.416999999999994</v>
      </c>
      <c r="J48" s="33">
        <f t="shared" si="31"/>
        <v>67.210999999999984</v>
      </c>
      <c r="K48" s="33">
        <f t="shared" si="31"/>
        <v>59.847000000000001</v>
      </c>
      <c r="L48" s="33">
        <f t="shared" si="31"/>
        <v>49.186999999999998</v>
      </c>
      <c r="M48" s="33">
        <f t="shared" si="31"/>
        <v>48.414000000000001</v>
      </c>
      <c r="N48" s="33">
        <f t="shared" si="31"/>
        <v>55.146000000000001</v>
      </c>
      <c r="O48" s="33">
        <f t="shared" si="31"/>
        <v>50.695000000000007</v>
      </c>
      <c r="P48" s="33">
        <f t="shared" ref="P48:U48" si="32">+SUM(P37:S37)</f>
        <v>57.58400000000001</v>
      </c>
      <c r="Q48" s="33">
        <f t="shared" si="32"/>
        <v>55.690000000000005</v>
      </c>
      <c r="R48" s="33">
        <f t="shared" si="32"/>
        <v>46.082000000000008</v>
      </c>
      <c r="S48" s="33">
        <f t="shared" si="32"/>
        <v>50.187000000000012</v>
      </c>
      <c r="T48" s="33">
        <f t="shared" si="32"/>
        <v>52.114000000000004</v>
      </c>
      <c r="U48" s="33">
        <f t="shared" si="32"/>
        <v>34.106000000000002</v>
      </c>
    </row>
    <row r="50" spans="1:24" s="37" customFormat="1">
      <c r="A50" s="37" t="s">
        <v>78</v>
      </c>
      <c r="B50" s="37">
        <f t="shared" ref="B50:C50" si="33">+SUM(B39:B40)/B47</f>
        <v>4.0178571428571432</v>
      </c>
      <c r="C50" s="37">
        <f t="shared" si="33"/>
        <v>3.1745115001017705</v>
      </c>
      <c r="D50" s="37">
        <f t="shared" ref="D50:E50" si="34">+SUM(D39:D40)/D47</f>
        <v>3.0270353539243628</v>
      </c>
      <c r="E50" s="37">
        <f t="shared" si="34"/>
        <v>2.6648174279473449</v>
      </c>
      <c r="F50" s="37">
        <f t="shared" ref="F50:G50" si="35">+SUM(F39:F40)/F47</f>
        <v>2.044234604198031</v>
      </c>
      <c r="G50" s="37">
        <f t="shared" si="35"/>
        <v>1.9678971863761374</v>
      </c>
      <c r="H50" s="37">
        <f t="shared" ref="H50:I50" si="36">+SUM(H39:H40)/H47</f>
        <v>2.1123814688448532</v>
      </c>
      <c r="I50" s="37">
        <f t="shared" si="36"/>
        <v>2.2659351432880848</v>
      </c>
      <c r="J50" s="37">
        <f t="shared" ref="J50:K50" si="37">+SUM(J39:J40)/J47</f>
        <v>2.3440015100037748</v>
      </c>
      <c r="K50" s="37">
        <f t="shared" si="37"/>
        <v>2.524041741611363</v>
      </c>
      <c r="L50" s="37">
        <f t="shared" ref="L50:U50" si="38">+SUM(L39:L40)/L47</f>
        <v>2.8021348045094752</v>
      </c>
      <c r="M50" s="37">
        <f t="shared" si="38"/>
        <v>3.0323595058122654</v>
      </c>
      <c r="N50" s="37">
        <f t="shared" si="38"/>
        <v>3.2704401968041101</v>
      </c>
      <c r="O50" s="37">
        <f t="shared" si="38"/>
        <v>3.2532978014656897</v>
      </c>
      <c r="P50" s="37">
        <f t="shared" si="38"/>
        <v>4.033483074598978</v>
      </c>
      <c r="Q50" s="37">
        <f t="shared" si="38"/>
        <v>4.6599338362939582</v>
      </c>
      <c r="R50" s="37">
        <f t="shared" si="38"/>
        <v>5.4097625788506427</v>
      </c>
      <c r="S50" s="37">
        <f t="shared" si="38"/>
        <v>3.0972333997387755</v>
      </c>
      <c r="T50" s="37">
        <f t="shared" si="38"/>
        <v>3.0355898833863395</v>
      </c>
      <c r="U50" s="37">
        <f t="shared" si="38"/>
        <v>3.1431823013719189</v>
      </c>
    </row>
    <row r="51" spans="1:24" s="37" customFormat="1">
      <c r="A51" s="37" t="s">
        <v>79</v>
      </c>
      <c r="B51" s="37">
        <f t="shared" ref="B51:C51" si="39">+B41/B47</f>
        <v>4.0178571428571432</v>
      </c>
      <c r="C51" s="37">
        <f t="shared" si="39"/>
        <v>3.1745115001017705</v>
      </c>
      <c r="D51" s="37">
        <f t="shared" ref="D51:E51" si="40">+D41/D47</f>
        <v>3.0270353539243628</v>
      </c>
      <c r="E51" s="37">
        <f t="shared" si="40"/>
        <v>2.6648174279473449</v>
      </c>
      <c r="F51" s="37">
        <f t="shared" ref="F51:G51" si="41">+F41/F47</f>
        <v>2.044234604198031</v>
      </c>
      <c r="G51" s="37">
        <f t="shared" si="41"/>
        <v>1.9678971863761374</v>
      </c>
      <c r="H51" s="37">
        <f t="shared" ref="H51:I51" si="42">+H41/H47</f>
        <v>2.1123814688448532</v>
      </c>
      <c r="I51" s="37">
        <f t="shared" si="42"/>
        <v>2.2659351432880848</v>
      </c>
      <c r="J51" s="37">
        <f t="shared" ref="J51:K51" si="43">+J41/J47</f>
        <v>2.3440015100037748</v>
      </c>
      <c r="K51" s="37">
        <f t="shared" si="43"/>
        <v>2.524041741611363</v>
      </c>
      <c r="L51" s="37">
        <f t="shared" ref="L51:U51" si="44">+L41/L47</f>
        <v>2.8021348045094752</v>
      </c>
      <c r="M51" s="37">
        <f t="shared" si="44"/>
        <v>3.0323595058122654</v>
      </c>
      <c r="N51" s="37">
        <f t="shared" si="44"/>
        <v>3.2704401968041101</v>
      </c>
      <c r="O51" s="37">
        <f t="shared" si="44"/>
        <v>3.2532978014656897</v>
      </c>
      <c r="P51" s="37">
        <f t="shared" si="44"/>
        <v>4.033483074598978</v>
      </c>
      <c r="Q51" s="37">
        <f t="shared" si="44"/>
        <v>4.6599338362939582</v>
      </c>
      <c r="R51" s="37">
        <f t="shared" si="44"/>
        <v>5.4097625788506427</v>
      </c>
      <c r="S51" s="37">
        <f t="shared" si="44"/>
        <v>3.0972333997387755</v>
      </c>
      <c r="T51" s="37">
        <f t="shared" si="44"/>
        <v>3.0355898833863395</v>
      </c>
      <c r="U51" s="37">
        <f t="shared" si="44"/>
        <v>3.1431823013719189</v>
      </c>
    </row>
    <row r="52" spans="1:24" s="37" customFormat="1">
      <c r="A52" s="37" t="s">
        <v>80</v>
      </c>
      <c r="B52" s="37">
        <f t="shared" ref="B52:C52" si="45">+(B41-B44)/B47</f>
        <v>3.3214285714285716</v>
      </c>
      <c r="C52" s="37">
        <f t="shared" si="45"/>
        <v>0.7876552004884998</v>
      </c>
      <c r="D52" s="37">
        <f t="shared" ref="D52:E52" si="46">+(D41-D44)/D47</f>
        <v>0.9742850540817114</v>
      </c>
      <c r="E52" s="37">
        <f t="shared" si="46"/>
        <v>1.1934548547348889</v>
      </c>
      <c r="F52" s="37">
        <f t="shared" ref="F52:G52" si="47">+(F41-F44)/F47</f>
        <v>1.1421229772442443</v>
      </c>
      <c r="G52" s="37">
        <f t="shared" si="47"/>
        <v>1.3331394118891475</v>
      </c>
      <c r="H52" s="37">
        <f t="shared" ref="H52:I52" si="48">+(H41-H44)/H47</f>
        <v>1.5702525400878204</v>
      </c>
      <c r="I52" s="37">
        <f t="shared" si="48"/>
        <v>1.8457541478129715</v>
      </c>
      <c r="J52" s="37">
        <f t="shared" ref="J52:K52" si="49">+(J41-J44)/J47</f>
        <v>1.8072480181200452</v>
      </c>
      <c r="K52" s="37">
        <f t="shared" si="49"/>
        <v>2.0737610866464058</v>
      </c>
      <c r="L52" s="37">
        <f t="shared" ref="L52:U52" si="50">+(L41-L44)/L47</f>
        <v>2.3409450707603745</v>
      </c>
      <c r="M52" s="37">
        <f t="shared" si="50"/>
        <v>2.5583259348993121</v>
      </c>
      <c r="N52" s="37">
        <f t="shared" si="50"/>
        <v>2.7216440980537291</v>
      </c>
      <c r="O52" s="37">
        <f t="shared" si="50"/>
        <v>2.7153397734843439</v>
      </c>
      <c r="P52" s="37">
        <f t="shared" si="50"/>
        <v>3.3431990299946333</v>
      </c>
      <c r="Q52" s="37">
        <f t="shared" si="50"/>
        <v>3.9544824273127266</v>
      </c>
      <c r="R52" s="37">
        <f t="shared" si="50"/>
        <v>4.4462822232156149</v>
      </c>
      <c r="S52" s="37">
        <f t="shared" si="50"/>
        <v>2.4172856445505757</v>
      </c>
      <c r="T52" s="37">
        <f t="shared" si="50"/>
        <v>2.4587687414811454</v>
      </c>
      <c r="U52" s="37">
        <f t="shared" si="50"/>
        <v>2.6033816485536696</v>
      </c>
    </row>
    <row r="53" spans="1:24" s="38" customFormat="1">
      <c r="A53" s="38" t="s">
        <v>81</v>
      </c>
      <c r="B53" s="38">
        <f t="shared" ref="B53:C53" si="51">+B48/B41</f>
        <v>0</v>
      </c>
      <c r="C53" s="38">
        <f t="shared" si="51"/>
        <v>0.40039752827179392</v>
      </c>
      <c r="D53" s="38">
        <f t="shared" ref="D53:E53" si="52">+D48/D41</f>
        <v>0.39436568520537973</v>
      </c>
      <c r="E53" s="38">
        <f t="shared" si="52"/>
        <v>0.3982511116430556</v>
      </c>
      <c r="F53" s="38">
        <f t="shared" ref="F53:G53" si="53">+F48/F41</f>
        <v>0.37541160593792172</v>
      </c>
      <c r="G53" s="38">
        <f t="shared" si="53"/>
        <v>0.32304780333483063</v>
      </c>
      <c r="H53" s="38">
        <f t="shared" ref="H53:I53" si="54">+H48/H41</f>
        <v>0.27635017809835877</v>
      </c>
      <c r="I53" s="38">
        <f t="shared" si="54"/>
        <v>0.19109507659844968</v>
      </c>
      <c r="J53" s="38">
        <f t="shared" ref="J53:O53" si="55">+J48/J41</f>
        <v>0.21648634458856605</v>
      </c>
      <c r="K53" s="38">
        <f t="shared" si="55"/>
        <v>0.18382730118165258</v>
      </c>
      <c r="L53" s="38">
        <f t="shared" si="55"/>
        <v>0.14034862453383096</v>
      </c>
      <c r="M53" s="38">
        <f t="shared" si="55"/>
        <v>0.13247305472783838</v>
      </c>
      <c r="N53" s="38">
        <f t="shared" si="55"/>
        <v>0.14683633284606229</v>
      </c>
      <c r="O53" s="38">
        <f t="shared" si="55"/>
        <v>0.12976890153997381</v>
      </c>
      <c r="P53" s="38">
        <f t="shared" ref="P53:U53" si="56">+P48/P41</f>
        <v>0.14188807932170483</v>
      </c>
      <c r="Q53" s="38">
        <f t="shared" si="56"/>
        <v>0.1304802159284737</v>
      </c>
      <c r="R53" s="38">
        <f t="shared" si="56"/>
        <v>0.1057753885493012</v>
      </c>
      <c r="S53" s="38">
        <f t="shared" si="56"/>
        <v>0.21377912004123348</v>
      </c>
      <c r="T53" s="38">
        <f t="shared" si="56"/>
        <v>0.21666500365861771</v>
      </c>
      <c r="U53" s="38">
        <f t="shared" si="56"/>
        <v>0.13570098515111487</v>
      </c>
    </row>
    <row r="54" spans="1:24" s="38" customFormat="1">
      <c r="A54" s="39" t="s">
        <v>82</v>
      </c>
      <c r="B54" s="40"/>
      <c r="C54" s="40"/>
      <c r="D54" s="40"/>
      <c r="E54" s="40"/>
      <c r="F54" s="40"/>
      <c r="G54" s="40"/>
      <c r="H54" s="40"/>
      <c r="I54" s="40"/>
      <c r="J54" s="40"/>
      <c r="K54" s="40"/>
      <c r="L54" s="40"/>
      <c r="M54" s="40"/>
      <c r="N54" s="40"/>
      <c r="O54" s="40"/>
      <c r="P54" s="40"/>
      <c r="Q54" s="40"/>
      <c r="R54" s="40"/>
      <c r="S54" s="40"/>
      <c r="T54" s="40"/>
      <c r="U54" s="40"/>
      <c r="V54" s="39"/>
      <c r="W54" s="39"/>
      <c r="X54" s="39"/>
    </row>
    <row r="55" spans="1:24" s="38" customFormat="1">
      <c r="A55" s="38" t="s">
        <v>83</v>
      </c>
      <c r="B55" s="41">
        <f t="shared" ref="B55" si="57">IF(B42=0,IF(B54="","","*"&amp;TEXT(B54,"0.0x")),(B41+B42-B44)/B47)</f>
        <v>16.151785714285715</v>
      </c>
      <c r="C55" s="41">
        <f t="shared" ref="C55:D55" si="58">IF(C42=0,IF(C54="","","*"&amp;TEXT(C54,"0.0x")),(C41+C42-C44)/C47)</f>
        <v>13.568316243512109</v>
      </c>
      <c r="D55" s="41">
        <f t="shared" si="58"/>
        <v>10.643647622605387</v>
      </c>
      <c r="E55" s="41">
        <f t="shared" ref="E55:G55" si="59">IF(E42=0,IF(E54="","","*"&amp;TEXT(E54,"0.0x")),(E41+E42-E44)/E47)</f>
        <v>8.8705373384493456</v>
      </c>
      <c r="F55" s="41">
        <f t="shared" si="59"/>
        <v>6.8436205757907773</v>
      </c>
      <c r="G55" s="41">
        <f t="shared" si="59"/>
        <v>8.133923907643025</v>
      </c>
      <c r="H55" s="41">
        <f t="shared" ref="H55:I55" si="60">IF(H42=0,IF(H54="","","*"&amp;TEXT(H54,"0.0x")),(H41+H42-H44)/H47)</f>
        <v>8.8363690772081238</v>
      </c>
      <c r="I55" s="41">
        <f t="shared" si="60"/>
        <v>8.371025662745101</v>
      </c>
      <c r="J55" s="41">
        <f t="shared" ref="J55:O55" si="61">IF(J42=0,IF(J54="","","*"&amp;TEXT(J54,"0.0x")),(J41+J42-J44)/J47)</f>
        <v>8.2921011657229133</v>
      </c>
      <c r="K55" s="41">
        <f t="shared" si="61"/>
        <v>8.4691279538547413</v>
      </c>
      <c r="L55" s="41">
        <f t="shared" si="61"/>
        <v>8.0845509645798366</v>
      </c>
      <c r="M55" s="41">
        <f t="shared" si="61"/>
        <v>10.537074591481982</v>
      </c>
      <c r="N55" s="41">
        <f t="shared" si="61"/>
        <v>9.9281119797970998</v>
      </c>
      <c r="O55" s="41">
        <f t="shared" si="61"/>
        <v>10.646717760659561</v>
      </c>
      <c r="P55" s="41">
        <f t="shared" ref="P55:U55" si="62">IF(P42=0,IF(P54="","","*"&amp;TEXT(P54,"0.0x")),(P41+P42-P44)/P47)</f>
        <v>12.481508584945038</v>
      </c>
      <c r="Q55" s="41">
        <f t="shared" si="62"/>
        <v>13.020318850105356</v>
      </c>
      <c r="R55" s="41">
        <f t="shared" si="62"/>
        <v>11.281560530472357</v>
      </c>
      <c r="S55" s="41">
        <f t="shared" si="62"/>
        <v>9.9583928780822433</v>
      </c>
      <c r="T55" s="41">
        <f t="shared" si="62"/>
        <v>6.8945218957292136</v>
      </c>
      <c r="U55" s="41">
        <f t="shared" si="62"/>
        <v>6.7934794057102836</v>
      </c>
      <c r="V55" s="41" t="str">
        <f>IF(V42=0,IF(V54="","",CONCATENATE("* ",V54,"x")),(V41+V42-V44)/V47)</f>
        <v/>
      </c>
      <c r="W55" s="41" t="str">
        <f>IF(W42=0,IF(W54="","",CONCATENATE("* ",W54,"x")),(W41+W42-W44)/W47)</f>
        <v/>
      </c>
      <c r="X55" s="41" t="str">
        <f>IF(X42=0,IF(X54="","",CONCATENATE("* ",X54,"x")),(X41+X42-X44)/X47)</f>
        <v/>
      </c>
    </row>
    <row r="56" spans="1:24">
      <c r="U56" s="42"/>
    </row>
    <row r="57" spans="1:24" ht="80.25" customHeight="1">
      <c r="A57" s="43" t="s">
        <v>84</v>
      </c>
      <c r="B57" s="44" t="s">
        <v>646</v>
      </c>
      <c r="C57" s="44" t="s">
        <v>290</v>
      </c>
      <c r="D57" s="44" t="s">
        <v>290</v>
      </c>
      <c r="E57" s="44" t="s">
        <v>290</v>
      </c>
      <c r="F57" s="44" t="s">
        <v>301</v>
      </c>
      <c r="G57" s="44" t="s">
        <v>290</v>
      </c>
      <c r="H57" s="44" t="s">
        <v>290</v>
      </c>
      <c r="I57" s="44" t="s">
        <v>290</v>
      </c>
      <c r="J57" s="44" t="s">
        <v>301</v>
      </c>
      <c r="K57" s="44"/>
      <c r="L57" s="44"/>
      <c r="M57" s="44"/>
      <c r="N57" s="44"/>
      <c r="O57" s="44"/>
      <c r="P57" s="44"/>
      <c r="Q57" s="44"/>
      <c r="R57" s="44"/>
      <c r="S57" s="44"/>
      <c r="T57" s="44"/>
      <c r="U57" s="44"/>
      <c r="V57" s="44"/>
      <c r="W57" s="44"/>
      <c r="X57" s="44"/>
    </row>
    <row r="58" spans="1:24">
      <c r="A58" s="45"/>
      <c r="B58" s="42"/>
      <c r="C58" s="42"/>
      <c r="D58" s="42"/>
      <c r="E58" s="42"/>
      <c r="F58" s="42"/>
      <c r="G58" s="42"/>
      <c r="H58" s="42"/>
      <c r="I58" s="42"/>
      <c r="J58" s="42"/>
      <c r="K58" s="42"/>
      <c r="L58" s="42"/>
      <c r="M58" s="42"/>
      <c r="N58" s="42"/>
      <c r="O58" s="42"/>
      <c r="P58" s="42"/>
      <c r="Q58" s="42"/>
    </row>
    <row r="59" spans="1:24">
      <c r="A59" s="45"/>
    </row>
  </sheetData>
  <pageMargins left="0.7" right="0.7" top="0.75" bottom="0.75" header="0.3" footer="0.3"/>
  <pageSetup orientation="portrait" r:id="rId1"/>
  <legacyDrawing r:id="rId2"/>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2:J59"/>
  <sheetViews>
    <sheetView showGridLines="0" zoomScaleNormal="100" workbookViewId="0">
      <pane xSplit="1" ySplit="10" topLeftCell="B11" activePane="bottomRight" state="frozen"/>
      <selection activeCell="B8" sqref="B8"/>
      <selection pane="topRight" activeCell="B8" sqref="B8"/>
      <selection pane="bottomLeft" activeCell="B8" sqref="B8"/>
      <selection pane="bottomRight" activeCell="B11" sqref="B11"/>
    </sheetView>
  </sheetViews>
  <sheetFormatPr defaultColWidth="9.109375" defaultRowHeight="13.8"/>
  <cols>
    <col min="1" max="1" width="22.6640625" style="14" customWidth="1"/>
    <col min="2" max="10" width="10.6640625" style="14" customWidth="1"/>
    <col min="11" max="16384" width="9.109375" style="14"/>
  </cols>
  <sheetData>
    <row r="2" spans="1:10">
      <c r="A2" s="13" t="s">
        <v>44</v>
      </c>
      <c r="B2" s="14" t="s">
        <v>523</v>
      </c>
    </row>
    <row r="3" spans="1:10" s="16" customFormat="1">
      <c r="A3" s="15" t="s">
        <v>45</v>
      </c>
      <c r="B3" s="16" t="s">
        <v>518</v>
      </c>
    </row>
    <row r="4" spans="1:10">
      <c r="A4" s="13" t="s">
        <v>2</v>
      </c>
      <c r="B4" s="14" t="s">
        <v>4</v>
      </c>
    </row>
    <row r="5" spans="1:10">
      <c r="A5" s="13" t="s">
        <v>46</v>
      </c>
    </row>
    <row r="6" spans="1:10">
      <c r="A6" s="13" t="s">
        <v>47</v>
      </c>
      <c r="B6" s="14">
        <v>2</v>
      </c>
    </row>
    <row r="7" spans="1:10">
      <c r="A7" s="13" t="s">
        <v>48</v>
      </c>
      <c r="B7" s="14" t="s">
        <v>520</v>
      </c>
    </row>
    <row r="8" spans="1:10">
      <c r="A8" s="13" t="s">
        <v>347</v>
      </c>
      <c r="B8" s="14" t="s">
        <v>519</v>
      </c>
    </row>
    <row r="9" spans="1:10">
      <c r="A9" s="17"/>
    </row>
    <row r="10" spans="1:10">
      <c r="A10" s="17" t="s">
        <v>49</v>
      </c>
      <c r="B10" s="18">
        <v>44286</v>
      </c>
      <c r="C10" s="18">
        <v>44196</v>
      </c>
      <c r="D10" s="18">
        <v>44104</v>
      </c>
      <c r="E10" s="18">
        <v>44012</v>
      </c>
      <c r="F10" s="18">
        <v>43921</v>
      </c>
      <c r="G10" s="18">
        <v>43830</v>
      </c>
      <c r="H10" s="18">
        <v>43738</v>
      </c>
      <c r="I10" s="18">
        <v>43646</v>
      </c>
      <c r="J10" s="18">
        <f>EOMONTH(I10,-3)</f>
        <v>43555</v>
      </c>
    </row>
    <row r="12" spans="1:10">
      <c r="A12" s="19" t="s">
        <v>50</v>
      </c>
      <c r="B12" s="20">
        <v>510</v>
      </c>
      <c r="C12" s="20">
        <f>1935-D12-E12-F12</f>
        <v>501.40100000000007</v>
      </c>
      <c r="D12" s="20">
        <v>488.74099999999999</v>
      </c>
      <c r="E12" s="20">
        <v>449.858</v>
      </c>
      <c r="F12" s="20">
        <v>495</v>
      </c>
      <c r="G12" s="20">
        <f>2002-H12-I12-J12</f>
        <v>491.97499999999985</v>
      </c>
      <c r="H12" s="20">
        <v>512.09400000000005</v>
      </c>
      <c r="I12" s="20">
        <v>504.94900000000001</v>
      </c>
      <c r="J12" s="20">
        <f>997.931-I12</f>
        <v>492.98200000000003</v>
      </c>
    </row>
    <row r="13" spans="1:10" s="21" customFormat="1">
      <c r="A13" s="21" t="s">
        <v>51</v>
      </c>
      <c r="B13" s="21">
        <f>B12/F12-1</f>
        <v>3.0303030303030276E-2</v>
      </c>
      <c r="C13" s="21">
        <f>C12/G12-1</f>
        <v>1.9159510137710667E-2</v>
      </c>
      <c r="D13" s="21">
        <f>D12/H12-1</f>
        <v>-4.5602955707350734E-2</v>
      </c>
      <c r="E13" s="21">
        <f>E12/I12-1</f>
        <v>-0.10910210734153347</v>
      </c>
      <c r="F13" s="21">
        <f>F12/J12-1</f>
        <v>4.09345574483444E-3</v>
      </c>
    </row>
    <row r="14" spans="1:10" s="24" customFormat="1">
      <c r="A14" s="22" t="s">
        <v>52</v>
      </c>
      <c r="B14" s="23" t="s">
        <v>3</v>
      </c>
      <c r="C14" s="23" t="s">
        <v>3</v>
      </c>
      <c r="D14" s="23" t="s">
        <v>3</v>
      </c>
      <c r="E14" s="23" t="s">
        <v>3</v>
      </c>
      <c r="F14" s="23" t="s">
        <v>3</v>
      </c>
      <c r="G14" s="23"/>
      <c r="H14" s="23"/>
      <c r="I14" s="23"/>
      <c r="J14" s="23"/>
    </row>
    <row r="16" spans="1:10" s="17" customFormat="1">
      <c r="A16" s="25" t="s">
        <v>53</v>
      </c>
      <c r="B16" s="26">
        <v>139</v>
      </c>
      <c r="C16" s="26">
        <f>589-D16-E16-F16</f>
        <v>148.11800000000005</v>
      </c>
      <c r="D16" s="26">
        <v>155.36199999999999</v>
      </c>
      <c r="E16" s="26">
        <v>148.52000000000001</v>
      </c>
      <c r="F16" s="26">
        <v>137</v>
      </c>
      <c r="G16" s="26">
        <f>567-H16-I16-J16</f>
        <v>139.91199999999992</v>
      </c>
      <c r="H16" s="26">
        <v>160.13300000000001</v>
      </c>
      <c r="I16" s="26">
        <v>144.45500000000001</v>
      </c>
      <c r="J16" s="26">
        <v>122.5</v>
      </c>
    </row>
    <row r="17" spans="1:10" s="21" customFormat="1">
      <c r="A17" s="21" t="s">
        <v>54</v>
      </c>
      <c r="B17" s="21">
        <f t="shared" ref="B17:C17" si="0">B16/B12</f>
        <v>0.27254901960784311</v>
      </c>
      <c r="C17" s="21">
        <f t="shared" si="0"/>
        <v>0.29540826603856002</v>
      </c>
      <c r="D17" s="21">
        <f t="shared" ref="D17:J17" si="1">D16/D12</f>
        <v>0.3178820684166051</v>
      </c>
      <c r="E17" s="21">
        <f t="shared" si="1"/>
        <v>0.33014862467712036</v>
      </c>
      <c r="F17" s="21">
        <f t="shared" si="1"/>
        <v>0.27676767676767677</v>
      </c>
      <c r="G17" s="21">
        <f t="shared" si="1"/>
        <v>0.28438843437166517</v>
      </c>
      <c r="H17" s="21">
        <f t="shared" si="1"/>
        <v>0.31270235542693331</v>
      </c>
      <c r="I17" s="21">
        <f t="shared" si="1"/>
        <v>0.28607839603603535</v>
      </c>
      <c r="J17" s="21">
        <f t="shared" si="1"/>
        <v>0.24848777440149944</v>
      </c>
    </row>
    <row r="18" spans="1:10" s="24" customFormat="1"/>
    <row r="19" spans="1:10" s="24" customFormat="1">
      <c r="A19" s="19" t="s">
        <v>55</v>
      </c>
      <c r="B19" s="20">
        <v>0</v>
      </c>
      <c r="C19" s="20">
        <v>0</v>
      </c>
      <c r="D19" s="20">
        <v>0</v>
      </c>
      <c r="E19" s="20">
        <v>0</v>
      </c>
      <c r="F19" s="20">
        <v>0</v>
      </c>
      <c r="G19" s="20">
        <v>0</v>
      </c>
      <c r="H19" s="20">
        <v>0</v>
      </c>
      <c r="I19" s="20">
        <v>0</v>
      </c>
      <c r="J19" s="20">
        <v>0</v>
      </c>
    </row>
    <row r="20" spans="1:10" s="24" customFormat="1">
      <c r="A20" s="19" t="s">
        <v>56</v>
      </c>
      <c r="B20" s="20">
        <v>0</v>
      </c>
      <c r="C20" s="20">
        <v>0</v>
      </c>
      <c r="D20" s="20">
        <v>0</v>
      </c>
      <c r="E20" s="20">
        <v>0</v>
      </c>
      <c r="F20" s="20">
        <v>0</v>
      </c>
      <c r="G20" s="20">
        <v>0</v>
      </c>
      <c r="H20" s="20">
        <v>0</v>
      </c>
      <c r="I20" s="20">
        <v>0</v>
      </c>
      <c r="J20" s="20">
        <v>0</v>
      </c>
    </row>
    <row r="21" spans="1:10" s="24" customFormat="1">
      <c r="A21" s="19" t="s">
        <v>57</v>
      </c>
      <c r="B21" s="20">
        <v>0</v>
      </c>
      <c r="C21" s="20">
        <v>0</v>
      </c>
      <c r="D21" s="20">
        <v>0</v>
      </c>
      <c r="E21" s="20">
        <v>0</v>
      </c>
      <c r="F21" s="20">
        <v>0</v>
      </c>
      <c r="G21" s="20">
        <v>0</v>
      </c>
      <c r="H21" s="20">
        <v>0</v>
      </c>
      <c r="I21" s="20">
        <v>0</v>
      </c>
      <c r="J21" s="20">
        <v>0</v>
      </c>
    </row>
    <row r="22" spans="1:10" s="17" customFormat="1">
      <c r="A22" s="17" t="s">
        <v>58</v>
      </c>
      <c r="B22" s="27">
        <f t="shared" ref="B22:C22" si="2">B16+B19+B20+B21</f>
        <v>139</v>
      </c>
      <c r="C22" s="27">
        <f t="shared" si="2"/>
        <v>148.11800000000005</v>
      </c>
      <c r="D22" s="27">
        <f t="shared" ref="D22:J22" si="3">D16+D19+D20+D21</f>
        <v>155.36199999999999</v>
      </c>
      <c r="E22" s="27">
        <f t="shared" si="3"/>
        <v>148.52000000000001</v>
      </c>
      <c r="F22" s="27">
        <f t="shared" si="3"/>
        <v>137</v>
      </c>
      <c r="G22" s="27">
        <f t="shared" si="3"/>
        <v>139.91199999999992</v>
      </c>
      <c r="H22" s="27">
        <f t="shared" si="3"/>
        <v>160.13300000000001</v>
      </c>
      <c r="I22" s="27">
        <f t="shared" si="3"/>
        <v>144.45500000000001</v>
      </c>
      <c r="J22" s="27">
        <f t="shared" si="3"/>
        <v>122.5</v>
      </c>
    </row>
    <row r="23" spans="1:10" s="17" customFormat="1">
      <c r="B23" s="27"/>
      <c r="C23" s="27"/>
      <c r="D23" s="27"/>
      <c r="E23" s="27"/>
      <c r="F23" s="27"/>
      <c r="G23" s="27"/>
      <c r="H23" s="27"/>
      <c r="I23" s="27"/>
      <c r="J23" s="27"/>
    </row>
    <row r="24" spans="1:10" s="17" customFormat="1">
      <c r="A24" s="17" t="s">
        <v>59</v>
      </c>
      <c r="B24" s="65">
        <f t="shared" ref="B24:G24" si="4">SUM(B22:E22)</f>
        <v>591</v>
      </c>
      <c r="C24" s="65">
        <f t="shared" si="4"/>
        <v>589</v>
      </c>
      <c r="D24" s="65">
        <f t="shared" si="4"/>
        <v>580.79399999999987</v>
      </c>
      <c r="E24" s="65">
        <f t="shared" si="4"/>
        <v>585.56499999999994</v>
      </c>
      <c r="F24" s="65">
        <f t="shared" si="4"/>
        <v>581.5</v>
      </c>
      <c r="G24" s="65">
        <f t="shared" si="4"/>
        <v>567</v>
      </c>
      <c r="H24" s="27"/>
      <c r="I24" s="27"/>
      <c r="J24" s="27"/>
    </row>
    <row r="25" spans="1:10" s="24" customFormat="1">
      <c r="A25" s="19" t="s">
        <v>60</v>
      </c>
      <c r="B25" s="28">
        <v>0</v>
      </c>
      <c r="C25" s="28">
        <f>585.091-C24</f>
        <v>-3.9089999999999918</v>
      </c>
      <c r="D25" s="28">
        <f>583.193-D24</f>
        <v>2.3990000000001146</v>
      </c>
      <c r="E25" s="28">
        <f>587.572-E24</f>
        <v>2.0070000000000618</v>
      </c>
      <c r="F25" s="28">
        <v>0</v>
      </c>
      <c r="G25" s="28">
        <v>0</v>
      </c>
      <c r="H25" s="28"/>
      <c r="I25" s="28"/>
      <c r="J25" s="28"/>
    </row>
    <row r="26" spans="1:10" s="24" customFormat="1">
      <c r="A26" s="19" t="s">
        <v>61</v>
      </c>
      <c r="B26" s="29">
        <v>0</v>
      </c>
      <c r="C26" s="29">
        <v>0</v>
      </c>
      <c r="D26" s="29">
        <v>0</v>
      </c>
      <c r="E26" s="29">
        <v>0</v>
      </c>
      <c r="F26" s="29">
        <v>0</v>
      </c>
      <c r="G26" s="29">
        <v>0</v>
      </c>
      <c r="H26" s="29"/>
      <c r="I26" s="29"/>
      <c r="J26" s="29"/>
    </row>
    <row r="27" spans="1:10" s="32" customFormat="1">
      <c r="A27" s="17" t="s">
        <v>62</v>
      </c>
      <c r="B27" s="27">
        <f t="shared" ref="B27:G27" si="5">B24+B25+B26</f>
        <v>591</v>
      </c>
      <c r="C27" s="27">
        <f t="shared" si="5"/>
        <v>585.09100000000001</v>
      </c>
      <c r="D27" s="27">
        <f t="shared" si="5"/>
        <v>583.19299999999998</v>
      </c>
      <c r="E27" s="27">
        <f t="shared" si="5"/>
        <v>587.572</v>
      </c>
      <c r="F27" s="27">
        <f t="shared" si="5"/>
        <v>581.5</v>
      </c>
      <c r="G27" s="27">
        <f t="shared" si="5"/>
        <v>567</v>
      </c>
      <c r="H27" s="27"/>
      <c r="I27" s="27"/>
      <c r="J27" s="27"/>
    </row>
    <row r="28" spans="1:10" s="24" customFormat="1"/>
    <row r="29" spans="1:10" s="17" customFormat="1">
      <c r="A29" s="17" t="s">
        <v>58</v>
      </c>
      <c r="B29" s="27">
        <f>B22</f>
        <v>139</v>
      </c>
      <c r="C29" s="27">
        <f>C22</f>
        <v>148.11800000000005</v>
      </c>
      <c r="D29" s="27">
        <f>D22</f>
        <v>155.36199999999999</v>
      </c>
      <c r="E29" s="27">
        <f>E22</f>
        <v>148.52000000000001</v>
      </c>
      <c r="F29" s="27">
        <f>F22</f>
        <v>137</v>
      </c>
      <c r="G29" s="27"/>
      <c r="H29" s="27">
        <f>H22</f>
        <v>160.13300000000001</v>
      </c>
      <c r="I29" s="27">
        <f>I22</f>
        <v>144.45500000000001</v>
      </c>
      <c r="J29" s="27">
        <f>J22</f>
        <v>122.5</v>
      </c>
    </row>
    <row r="30" spans="1:10" s="33" customFormat="1">
      <c r="A30" s="20" t="s">
        <v>63</v>
      </c>
      <c r="B30" s="20"/>
      <c r="C30" s="20"/>
      <c r="D30" s="20"/>
      <c r="E30" s="20"/>
      <c r="F30" s="20"/>
      <c r="G30" s="20"/>
      <c r="H30" s="20"/>
      <c r="I30" s="20"/>
      <c r="J30" s="20"/>
    </row>
    <row r="31" spans="1:10" s="33" customFormat="1">
      <c r="A31" s="20" t="s">
        <v>64</v>
      </c>
      <c r="B31" s="20"/>
      <c r="C31" s="20"/>
      <c r="D31" s="20"/>
      <c r="E31" s="20"/>
      <c r="F31" s="20"/>
      <c r="G31" s="20"/>
      <c r="H31" s="20"/>
      <c r="I31" s="20"/>
      <c r="J31" s="20"/>
    </row>
    <row r="32" spans="1:10" s="33" customFormat="1">
      <c r="A32" s="20" t="s">
        <v>65</v>
      </c>
      <c r="B32" s="20"/>
      <c r="C32" s="20"/>
      <c r="D32" s="20"/>
      <c r="E32" s="20"/>
      <c r="F32" s="20"/>
      <c r="G32" s="20"/>
      <c r="H32" s="20"/>
      <c r="I32" s="20"/>
      <c r="J32" s="20"/>
    </row>
    <row r="33" spans="1:10" s="33" customFormat="1">
      <c r="A33" s="20" t="s">
        <v>66</v>
      </c>
      <c r="B33" s="20"/>
      <c r="C33" s="20"/>
      <c r="D33" s="20"/>
      <c r="E33" s="20"/>
      <c r="F33" s="20"/>
      <c r="G33" s="20"/>
      <c r="H33" s="20"/>
      <c r="I33" s="20"/>
      <c r="J33" s="20"/>
    </row>
    <row r="34" spans="1:10" s="33" customFormat="1">
      <c r="A34" s="20" t="s">
        <v>57</v>
      </c>
      <c r="B34" s="29"/>
      <c r="C34" s="29"/>
      <c r="D34" s="29"/>
      <c r="E34" s="29"/>
      <c r="F34" s="29"/>
      <c r="G34" s="29"/>
      <c r="H34" s="29"/>
      <c r="I34" s="29"/>
      <c r="J34" s="29"/>
    </row>
    <row r="35" spans="1:10" s="27" customFormat="1">
      <c r="A35" s="27" t="s">
        <v>67</v>
      </c>
      <c r="D35" s="27">
        <f>453.019-E35-F35</f>
        <v>168.447</v>
      </c>
      <c r="E35" s="27">
        <f>284.572-F35</f>
        <v>144.952</v>
      </c>
      <c r="F35" s="27">
        <v>139.62</v>
      </c>
      <c r="H35" s="27">
        <f>337.749-I35-J35</f>
        <v>148.83800000000002</v>
      </c>
      <c r="I35" s="27">
        <f>188.911-J35</f>
        <v>102.813</v>
      </c>
      <c r="J35" s="27">
        <v>86.097999999999999</v>
      </c>
    </row>
    <row r="36" spans="1:10" s="33" customFormat="1">
      <c r="A36" s="20" t="s">
        <v>68</v>
      </c>
      <c r="B36" s="29"/>
      <c r="C36" s="29"/>
      <c r="D36" s="29">
        <f>-226.231-E36-F36</f>
        <v>-80.483000000000004</v>
      </c>
      <c r="E36" s="29">
        <f>-145.748-F36</f>
        <v>-64.980999999999995</v>
      </c>
      <c r="F36" s="29">
        <v>-80.766999999999996</v>
      </c>
      <c r="G36" s="29"/>
      <c r="H36" s="29">
        <f>-200.469-I36-J36</f>
        <v>-67.680999999999983</v>
      </c>
      <c r="I36" s="29">
        <f>-132.788-J36</f>
        <v>-67.849000000000018</v>
      </c>
      <c r="J36" s="29">
        <v>-64.938999999999993</v>
      </c>
    </row>
    <row r="37" spans="1:10" s="27" customFormat="1">
      <c r="A37" s="27" t="s">
        <v>69</v>
      </c>
      <c r="B37" s="158" t="s">
        <v>112</v>
      </c>
      <c r="C37" s="158" t="s">
        <v>112</v>
      </c>
      <c r="D37" s="27">
        <f>D35-D36</f>
        <v>248.93</v>
      </c>
      <c r="E37" s="27">
        <f>E35-E36</f>
        <v>209.93299999999999</v>
      </c>
      <c r="F37" s="27">
        <f>F35-F36</f>
        <v>220.387</v>
      </c>
      <c r="G37" s="158" t="s">
        <v>112</v>
      </c>
      <c r="H37" s="27">
        <f>H35-H36</f>
        <v>216.51900000000001</v>
      </c>
      <c r="I37" s="27">
        <f>I35-I36</f>
        <v>170.66200000000003</v>
      </c>
      <c r="J37" s="27">
        <f>J35-J36</f>
        <v>151.03699999999998</v>
      </c>
    </row>
    <row r="39" spans="1:10" s="35" customFormat="1">
      <c r="A39" s="34" t="s">
        <v>70</v>
      </c>
      <c r="B39" s="20">
        <v>155</v>
      </c>
      <c r="C39" s="20">
        <v>155</v>
      </c>
      <c r="D39" s="20">
        <v>162</v>
      </c>
      <c r="E39" s="20">
        <v>200</v>
      </c>
      <c r="F39" s="20">
        <f>G39</f>
        <v>213</v>
      </c>
      <c r="G39" s="20">
        <f>200+13</f>
        <v>213</v>
      </c>
      <c r="H39" s="20">
        <v>0</v>
      </c>
      <c r="I39" s="20">
        <v>0</v>
      </c>
      <c r="J39" s="20"/>
    </row>
    <row r="40" spans="1:10" s="35" customFormat="1">
      <c r="A40" s="34" t="s">
        <v>71</v>
      </c>
      <c r="B40" s="20">
        <f>2531+128-155</f>
        <v>2504</v>
      </c>
      <c r="C40" s="20">
        <f>2531+128-155</f>
        <v>2504</v>
      </c>
      <c r="D40" s="20">
        <f>2537.25+147.701</f>
        <v>2684.951</v>
      </c>
      <c r="E40" s="20">
        <f>2544+138</f>
        <v>2682</v>
      </c>
      <c r="F40" s="20">
        <f>G40-(2550*1/100/4)</f>
        <v>2658.625</v>
      </c>
      <c r="G40" s="20">
        <f>2550+115</f>
        <v>2665</v>
      </c>
      <c r="H40" s="20">
        <f>2550+84</f>
        <v>2634</v>
      </c>
      <c r="I40" s="20">
        <f>2550+84</f>
        <v>2634</v>
      </c>
      <c r="J40" s="20"/>
    </row>
    <row r="41" spans="1:10" s="35" customFormat="1">
      <c r="A41" s="34" t="s">
        <v>72</v>
      </c>
      <c r="B41" s="20">
        <f t="shared" ref="B41" si="6">B39+B40</f>
        <v>2659</v>
      </c>
      <c r="C41" s="20">
        <f t="shared" ref="C41:I41" si="7">C39+C40</f>
        <v>2659</v>
      </c>
      <c r="D41" s="20">
        <f t="shared" si="7"/>
        <v>2846.951</v>
      </c>
      <c r="E41" s="20">
        <f t="shared" si="7"/>
        <v>2882</v>
      </c>
      <c r="F41" s="20">
        <f t="shared" si="7"/>
        <v>2871.625</v>
      </c>
      <c r="G41" s="20">
        <f t="shared" si="7"/>
        <v>2878</v>
      </c>
      <c r="H41" s="20">
        <f t="shared" si="7"/>
        <v>2634</v>
      </c>
      <c r="I41" s="20">
        <f t="shared" si="7"/>
        <v>2634</v>
      </c>
      <c r="J41" s="20"/>
    </row>
    <row r="42" spans="1:10" s="35" customFormat="1">
      <c r="A42" s="34" t="s">
        <v>73</v>
      </c>
      <c r="B42" s="36">
        <v>4614</v>
      </c>
      <c r="C42" s="36">
        <v>4614</v>
      </c>
      <c r="D42" s="36">
        <v>5396</v>
      </c>
      <c r="E42" s="36">
        <v>5396</v>
      </c>
      <c r="F42" s="36">
        <v>5396</v>
      </c>
      <c r="G42" s="36">
        <v>5396</v>
      </c>
      <c r="H42" s="36">
        <v>5396</v>
      </c>
      <c r="I42" s="36">
        <v>5396</v>
      </c>
      <c r="J42" s="36"/>
    </row>
    <row r="43" spans="1:10">
      <c r="B43" s="35"/>
      <c r="C43" s="35"/>
      <c r="D43" s="35"/>
      <c r="E43" s="35"/>
      <c r="F43" s="35"/>
      <c r="G43" s="35"/>
      <c r="H43" s="35"/>
      <c r="I43" s="35"/>
      <c r="J43" s="35"/>
    </row>
    <row r="44" spans="1:10">
      <c r="A44" s="19" t="s">
        <v>74</v>
      </c>
      <c r="B44" s="119">
        <v>74</v>
      </c>
      <c r="C44" s="119">
        <v>74</v>
      </c>
      <c r="D44" s="119">
        <v>207.9</v>
      </c>
      <c r="E44" s="119">
        <v>141.745</v>
      </c>
      <c r="F44" s="119">
        <v>56.363999999999997</v>
      </c>
      <c r="G44" s="28">
        <v>85.814999999999998</v>
      </c>
      <c r="H44" s="28">
        <v>30</v>
      </c>
      <c r="I44" s="28">
        <v>30</v>
      </c>
      <c r="J44" s="28"/>
    </row>
    <row r="46" spans="1:10">
      <c r="A46" s="14" t="s">
        <v>75</v>
      </c>
      <c r="B46" s="58">
        <f t="shared" ref="B46:G46" si="8">SUM(B12:E12)</f>
        <v>1950</v>
      </c>
      <c r="C46" s="58">
        <f t="shared" si="8"/>
        <v>1935</v>
      </c>
      <c r="D46" s="58">
        <f t="shared" si="8"/>
        <v>1925.5739999999998</v>
      </c>
      <c r="E46" s="58">
        <f t="shared" si="8"/>
        <v>1948.9269999999999</v>
      </c>
      <c r="F46" s="58">
        <f t="shared" si="8"/>
        <v>2004.018</v>
      </c>
      <c r="G46" s="58">
        <f t="shared" si="8"/>
        <v>2002</v>
      </c>
      <c r="H46" s="51">
        <v>2029</v>
      </c>
      <c r="I46" s="51">
        <v>2029</v>
      </c>
      <c r="J46" s="33"/>
    </row>
    <row r="47" spans="1:10">
      <c r="A47" s="14" t="s">
        <v>76</v>
      </c>
      <c r="B47" s="58">
        <f t="shared" ref="B47:G47" si="9">B27</f>
        <v>591</v>
      </c>
      <c r="C47" s="58">
        <f t="shared" si="9"/>
        <v>585.09100000000001</v>
      </c>
      <c r="D47" s="58">
        <f t="shared" si="9"/>
        <v>583.19299999999998</v>
      </c>
      <c r="E47" s="58">
        <f t="shared" si="9"/>
        <v>587.572</v>
      </c>
      <c r="F47" s="58">
        <f t="shared" si="9"/>
        <v>581.5</v>
      </c>
      <c r="G47" s="58">
        <f t="shared" si="9"/>
        <v>567</v>
      </c>
      <c r="H47" s="51">
        <v>596</v>
      </c>
      <c r="I47" s="51">
        <v>596</v>
      </c>
      <c r="J47" s="33"/>
    </row>
    <row r="48" spans="1:10">
      <c r="A48" s="14" t="s">
        <v>77</v>
      </c>
      <c r="B48" s="58"/>
      <c r="C48" s="58"/>
      <c r="D48" s="58">
        <f>E48+D37-H37</f>
        <v>296.16300000000001</v>
      </c>
      <c r="E48" s="58">
        <f>F48+E37-I37</f>
        <v>263.75199999999995</v>
      </c>
      <c r="F48" s="58">
        <f>G48+F37-J37</f>
        <v>224.48099999999999</v>
      </c>
      <c r="G48" s="51">
        <f>497.373-342.242</f>
        <v>155.13099999999997</v>
      </c>
      <c r="H48" s="51">
        <v>190.25</v>
      </c>
      <c r="I48" s="51">
        <v>190.25</v>
      </c>
      <c r="J48" s="33"/>
    </row>
    <row r="50" spans="1:10" s="37" customFormat="1">
      <c r="A50" s="37" t="s">
        <v>78</v>
      </c>
      <c r="B50" s="37">
        <f t="shared" ref="B50" si="10">+SUM(B39:B40)/B47</f>
        <v>4.4991539763113364</v>
      </c>
      <c r="C50" s="37">
        <f t="shared" ref="C50" si="11">+SUM(C39:C40)/C47</f>
        <v>4.5445922087333424</v>
      </c>
      <c r="D50" s="37">
        <f t="shared" ref="D50:I50" si="12">+SUM(D39:D40)/D47</f>
        <v>4.8816618169285295</v>
      </c>
      <c r="E50" s="37">
        <f t="shared" si="12"/>
        <v>4.904930799970046</v>
      </c>
      <c r="F50" s="37">
        <f t="shared" si="12"/>
        <v>4.9383061049011179</v>
      </c>
      <c r="G50" s="37">
        <f t="shared" si="12"/>
        <v>5.075837742504409</v>
      </c>
      <c r="H50" s="37">
        <f t="shared" si="12"/>
        <v>4.4194630872483218</v>
      </c>
      <c r="I50" s="37">
        <f t="shared" si="12"/>
        <v>4.4194630872483218</v>
      </c>
    </row>
    <row r="51" spans="1:10" s="37" customFormat="1">
      <c r="A51" s="37" t="s">
        <v>79</v>
      </c>
      <c r="B51" s="37">
        <f t="shared" ref="B51" si="13">+B41/B47</f>
        <v>4.4991539763113364</v>
      </c>
      <c r="C51" s="37">
        <f t="shared" ref="C51" si="14">+C41/C47</f>
        <v>4.5445922087333424</v>
      </c>
      <c r="D51" s="37">
        <f t="shared" ref="D51:I51" si="15">+D41/D47</f>
        <v>4.8816618169285295</v>
      </c>
      <c r="E51" s="37">
        <f t="shared" si="15"/>
        <v>4.904930799970046</v>
      </c>
      <c r="F51" s="37">
        <f t="shared" si="15"/>
        <v>4.9383061049011179</v>
      </c>
      <c r="G51" s="37">
        <f t="shared" si="15"/>
        <v>5.075837742504409</v>
      </c>
      <c r="H51" s="37">
        <f t="shared" si="15"/>
        <v>4.4194630872483218</v>
      </c>
      <c r="I51" s="37">
        <f t="shared" si="15"/>
        <v>4.4194630872483218</v>
      </c>
    </row>
    <row r="52" spans="1:10" s="37" customFormat="1">
      <c r="A52" s="37" t="s">
        <v>80</v>
      </c>
      <c r="B52" s="37">
        <f t="shared" ref="B52" si="16">+(B41-B44)/B47</f>
        <v>4.3739424703891707</v>
      </c>
      <c r="C52" s="37">
        <f t="shared" ref="C52" si="17">+(C41-C44)/C47</f>
        <v>4.4181161562902185</v>
      </c>
      <c r="D52" s="37">
        <f t="shared" ref="D52:I52" si="18">+(D41-D44)/D47</f>
        <v>4.5251760566399115</v>
      </c>
      <c r="E52" s="37">
        <f t="shared" si="18"/>
        <v>4.6636922794142679</v>
      </c>
      <c r="F52" s="37">
        <f t="shared" si="18"/>
        <v>4.8413774720550302</v>
      </c>
      <c r="G52" s="37">
        <f t="shared" si="18"/>
        <v>4.9244885361552031</v>
      </c>
      <c r="H52" s="37">
        <f t="shared" si="18"/>
        <v>4.3691275167785237</v>
      </c>
      <c r="I52" s="37">
        <f t="shared" si="18"/>
        <v>4.3691275167785237</v>
      </c>
    </row>
    <row r="53" spans="1:10" s="38" customFormat="1">
      <c r="A53" s="38" t="s">
        <v>81</v>
      </c>
      <c r="B53" s="38">
        <f t="shared" ref="B53" si="19">+B48/B41</f>
        <v>0</v>
      </c>
      <c r="C53" s="38">
        <f t="shared" ref="C53" si="20">+C48/C41</f>
        <v>0</v>
      </c>
      <c r="D53" s="38">
        <f t="shared" ref="D53:I53" si="21">+D48/D41</f>
        <v>0.10402813395804845</v>
      </c>
      <c r="E53" s="38">
        <f t="shared" si="21"/>
        <v>9.1517002081887566E-2</v>
      </c>
      <c r="F53" s="38">
        <f t="shared" si="21"/>
        <v>7.8172115091629302E-2</v>
      </c>
      <c r="G53" s="38">
        <f t="shared" si="21"/>
        <v>5.3902362751911043E-2</v>
      </c>
      <c r="H53" s="38">
        <f t="shared" si="21"/>
        <v>7.2228549734244502E-2</v>
      </c>
      <c r="I53" s="38">
        <f t="shared" si="21"/>
        <v>7.2228549734244502E-2</v>
      </c>
    </row>
    <row r="54" spans="1:10" s="38" customFormat="1">
      <c r="A54" s="39" t="s">
        <v>82</v>
      </c>
      <c r="B54" s="40"/>
      <c r="C54" s="40"/>
      <c r="D54" s="40"/>
      <c r="E54" s="40"/>
      <c r="F54" s="40"/>
      <c r="G54" s="40"/>
      <c r="H54" s="40"/>
      <c r="I54" s="40"/>
      <c r="J54" s="40"/>
    </row>
    <row r="55" spans="1:10" s="38" customFormat="1">
      <c r="A55" s="38" t="s">
        <v>83</v>
      </c>
      <c r="B55" s="41">
        <f t="shared" ref="B55" si="22">IF(B42=0,IF(B54="","","*"&amp;TEXT(B54,"0.0x")),(B41+B42-B44)/B47)</f>
        <v>12.181049069373943</v>
      </c>
      <c r="C55" s="41">
        <f t="shared" ref="C55" si="23">IF(C42=0,IF(C54="","","*"&amp;TEXT(C54,"0.0x")),(C41+C42-C44)/C47)</f>
        <v>12.304068939703397</v>
      </c>
      <c r="D55" s="41">
        <f t="shared" ref="D55:I55" si="24">IF(D42=0,IF(D54="","","*"&amp;TEXT(D54,"0.0x")),(D41+D42-D44)/D47)</f>
        <v>13.77768766086013</v>
      </c>
      <c r="E55" s="41">
        <f t="shared" si="24"/>
        <v>13.847247656457421</v>
      </c>
      <c r="F55" s="41">
        <f t="shared" si="24"/>
        <v>14.120827171109202</v>
      </c>
      <c r="G55" s="41">
        <f t="shared" si="24"/>
        <v>14.441243386243388</v>
      </c>
      <c r="H55" s="41">
        <f t="shared" si="24"/>
        <v>13.422818791946309</v>
      </c>
      <c r="I55" s="41">
        <f t="shared" si="24"/>
        <v>13.422818791946309</v>
      </c>
      <c r="J55" s="41"/>
    </row>
    <row r="57" spans="1:10" ht="80.25" customHeight="1">
      <c r="A57" s="43" t="s">
        <v>84</v>
      </c>
      <c r="B57" s="44" t="s">
        <v>289</v>
      </c>
      <c r="C57" s="44" t="s">
        <v>289</v>
      </c>
      <c r="D57" s="44" t="s">
        <v>289</v>
      </c>
      <c r="E57" s="44" t="s">
        <v>289</v>
      </c>
      <c r="F57" s="44" t="s">
        <v>560</v>
      </c>
      <c r="G57" s="44" t="s">
        <v>289</v>
      </c>
      <c r="H57" s="44" t="s">
        <v>532</v>
      </c>
      <c r="I57" s="44"/>
      <c r="J57" s="44"/>
    </row>
    <row r="58" spans="1:10">
      <c r="A58" s="45"/>
      <c r="B58" s="42"/>
      <c r="C58" s="42"/>
      <c r="D58" s="42"/>
      <c r="E58" s="42"/>
      <c r="F58" s="42"/>
      <c r="G58" s="42"/>
      <c r="H58" s="42"/>
      <c r="I58" s="42"/>
    </row>
    <row r="59" spans="1:10">
      <c r="A59" s="45"/>
    </row>
  </sheetData>
  <pageMargins left="0.7" right="0.7" top="0.75" bottom="0.75" header="0.3" footer="0.3"/>
  <pageSetup orientation="portrait" r:id="rId1"/>
  <ignoredErrors>
    <ignoredError sqref="K13:K15" evalError="1"/>
  </ignoredErrors>
  <legacyDrawing r:id="rId2"/>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2:J59"/>
  <sheetViews>
    <sheetView showGridLines="0" zoomScaleNormal="100" workbookViewId="0">
      <pane xSplit="1" ySplit="10" topLeftCell="B11" activePane="bottomRight" state="frozen"/>
      <selection activeCell="B8" sqref="B8"/>
      <selection pane="topRight" activeCell="B8" sqref="B8"/>
      <selection pane="bottomLeft" activeCell="B8" sqref="B8"/>
      <selection pane="bottomRight" activeCell="B11" sqref="B11"/>
    </sheetView>
  </sheetViews>
  <sheetFormatPr defaultColWidth="9.109375" defaultRowHeight="13.8"/>
  <cols>
    <col min="1" max="1" width="22.6640625" style="14" customWidth="1"/>
    <col min="2" max="10" width="10.6640625" style="14" customWidth="1"/>
    <col min="11" max="16384" width="9.109375" style="14"/>
  </cols>
  <sheetData>
    <row r="2" spans="1:10">
      <c r="A2" s="13" t="s">
        <v>44</v>
      </c>
      <c r="B2" s="14" t="s">
        <v>542</v>
      </c>
    </row>
    <row r="3" spans="1:10" s="16" customFormat="1">
      <c r="A3" s="15" t="s">
        <v>45</v>
      </c>
      <c r="B3" s="16" t="s">
        <v>538</v>
      </c>
    </row>
    <row r="4" spans="1:10">
      <c r="A4" s="13" t="s">
        <v>2</v>
      </c>
      <c r="B4" s="14" t="s">
        <v>4</v>
      </c>
    </row>
    <row r="5" spans="1:10">
      <c r="A5" s="13" t="s">
        <v>46</v>
      </c>
    </row>
    <row r="6" spans="1:10">
      <c r="A6" s="13" t="s">
        <v>47</v>
      </c>
      <c r="B6" s="14">
        <v>3</v>
      </c>
    </row>
    <row r="7" spans="1:10">
      <c r="A7" s="13" t="s">
        <v>48</v>
      </c>
      <c r="B7" s="14" t="s">
        <v>540</v>
      </c>
    </row>
    <row r="8" spans="1:10">
      <c r="A8" s="13" t="s">
        <v>347</v>
      </c>
      <c r="B8" s="14" t="s">
        <v>539</v>
      </c>
    </row>
    <row r="9" spans="1:10">
      <c r="A9" s="17"/>
    </row>
    <row r="10" spans="1:10">
      <c r="A10" s="17" t="s">
        <v>49</v>
      </c>
      <c r="B10" s="18">
        <v>44286</v>
      </c>
      <c r="C10" s="18">
        <v>44196</v>
      </c>
      <c r="D10" s="18">
        <v>44104</v>
      </c>
      <c r="E10" s="18">
        <v>44012</v>
      </c>
      <c r="F10" s="18">
        <v>43921</v>
      </c>
      <c r="G10" s="18">
        <f>EOMONTH(F10,-3)</f>
        <v>43830</v>
      </c>
      <c r="H10" s="18">
        <f>EOMONTH(G10,-3)</f>
        <v>43738</v>
      </c>
      <c r="I10" s="18">
        <f t="shared" ref="I10:J10" si="0">EOMONTH(H10,-3)</f>
        <v>43646</v>
      </c>
      <c r="J10" s="18">
        <f t="shared" si="0"/>
        <v>43555</v>
      </c>
    </row>
    <row r="12" spans="1:10">
      <c r="A12" s="19" t="s">
        <v>50</v>
      </c>
      <c r="B12" s="20">
        <v>420</v>
      </c>
      <c r="C12" s="20"/>
      <c r="D12" s="20"/>
      <c r="E12" s="20"/>
      <c r="F12" s="20">
        <v>376</v>
      </c>
      <c r="G12" s="20"/>
      <c r="H12" s="20"/>
      <c r="I12" s="20"/>
      <c r="J12" s="20"/>
    </row>
    <row r="13" spans="1:10" s="21" customFormat="1">
      <c r="A13" s="21" t="s">
        <v>51</v>
      </c>
      <c r="B13" s="21">
        <f>B12/F12-1</f>
        <v>0.11702127659574457</v>
      </c>
    </row>
    <row r="14" spans="1:10" s="24" customFormat="1">
      <c r="A14" s="22" t="s">
        <v>52</v>
      </c>
      <c r="B14" s="23" t="s">
        <v>3</v>
      </c>
      <c r="C14" s="23"/>
      <c r="D14" s="23"/>
      <c r="E14" s="23"/>
      <c r="F14" s="23"/>
      <c r="G14" s="23"/>
      <c r="H14" s="23"/>
      <c r="I14" s="23"/>
      <c r="J14" s="23"/>
    </row>
    <row r="16" spans="1:10" s="17" customFormat="1">
      <c r="A16" s="25" t="s">
        <v>53</v>
      </c>
      <c r="B16" s="26">
        <v>96</v>
      </c>
      <c r="C16" s="26"/>
      <c r="D16" s="26"/>
      <c r="E16" s="26"/>
      <c r="F16" s="26">
        <v>87</v>
      </c>
      <c r="G16" s="26"/>
      <c r="H16" s="26"/>
      <c r="I16" s="26"/>
      <c r="J16" s="26"/>
    </row>
    <row r="17" spans="1:10" s="21" customFormat="1">
      <c r="A17" s="21" t="s">
        <v>54</v>
      </c>
      <c r="B17" s="21">
        <f>B16/B12</f>
        <v>0.22857142857142856</v>
      </c>
      <c r="F17" s="21">
        <f>F16/F12</f>
        <v>0.23138297872340424</v>
      </c>
    </row>
    <row r="18" spans="1:10" s="24" customFormat="1"/>
    <row r="19" spans="1:10" s="24" customFormat="1">
      <c r="A19" s="19" t="s">
        <v>55</v>
      </c>
      <c r="B19" s="20">
        <v>0</v>
      </c>
      <c r="C19" s="20"/>
      <c r="D19" s="20"/>
      <c r="E19" s="20"/>
      <c r="F19" s="20">
        <v>0</v>
      </c>
      <c r="G19" s="20"/>
      <c r="H19" s="20"/>
      <c r="I19" s="20"/>
      <c r="J19" s="20"/>
    </row>
    <row r="20" spans="1:10" s="24" customFormat="1">
      <c r="A20" s="19" t="s">
        <v>56</v>
      </c>
      <c r="B20" s="20">
        <v>0</v>
      </c>
      <c r="C20" s="20"/>
      <c r="D20" s="20"/>
      <c r="E20" s="20"/>
      <c r="F20" s="20">
        <v>0</v>
      </c>
      <c r="G20" s="20"/>
      <c r="H20" s="20"/>
      <c r="I20" s="20"/>
      <c r="J20" s="20"/>
    </row>
    <row r="21" spans="1:10" s="24" customFormat="1">
      <c r="A21" s="19" t="s">
        <v>57</v>
      </c>
      <c r="B21" s="20">
        <v>0</v>
      </c>
      <c r="C21" s="20"/>
      <c r="D21" s="20"/>
      <c r="E21" s="20"/>
      <c r="F21" s="20">
        <v>0</v>
      </c>
      <c r="G21" s="20"/>
      <c r="H21" s="20"/>
      <c r="I21" s="20"/>
      <c r="J21" s="20"/>
    </row>
    <row r="22" spans="1:10" s="17" customFormat="1">
      <c r="A22" s="17" t="s">
        <v>58</v>
      </c>
      <c r="B22" s="27">
        <f>B16+B19+B20+B21</f>
        <v>96</v>
      </c>
      <c r="C22" s="27"/>
      <c r="D22" s="27"/>
      <c r="E22" s="27"/>
      <c r="F22" s="27">
        <f>F16+F19+F20+F21</f>
        <v>87</v>
      </c>
      <c r="G22" s="27"/>
      <c r="H22" s="27"/>
      <c r="I22" s="27"/>
      <c r="J22" s="27"/>
    </row>
    <row r="23" spans="1:10" s="17" customFormat="1">
      <c r="B23" s="27"/>
      <c r="C23" s="27"/>
      <c r="D23" s="27"/>
      <c r="E23" s="27"/>
      <c r="F23" s="27"/>
      <c r="G23" s="27"/>
      <c r="H23" s="27"/>
      <c r="I23" s="27"/>
      <c r="J23" s="27"/>
    </row>
    <row r="24" spans="1:10" s="17" customFormat="1">
      <c r="A24" s="17" t="s">
        <v>59</v>
      </c>
      <c r="B24" s="46">
        <v>367</v>
      </c>
      <c r="C24" s="27"/>
      <c r="D24" s="27"/>
      <c r="E24" s="27"/>
      <c r="F24" s="27"/>
      <c r="G24" s="27"/>
      <c r="H24" s="27"/>
      <c r="I24" s="27"/>
      <c r="J24" s="27"/>
    </row>
    <row r="25" spans="1:10" s="24" customFormat="1">
      <c r="A25" s="19" t="s">
        <v>60</v>
      </c>
      <c r="B25" s="28">
        <f>431-B24</f>
        <v>64</v>
      </c>
      <c r="C25" s="28"/>
      <c r="D25" s="28"/>
      <c r="E25" s="28"/>
      <c r="F25" s="28"/>
      <c r="G25" s="28"/>
      <c r="H25" s="28"/>
      <c r="I25" s="28"/>
      <c r="J25" s="28"/>
    </row>
    <row r="26" spans="1:10" s="24" customFormat="1">
      <c r="A26" s="19" t="s">
        <v>61</v>
      </c>
      <c r="B26" s="29">
        <v>0</v>
      </c>
      <c r="C26" s="29"/>
      <c r="D26" s="29"/>
      <c r="E26" s="29"/>
      <c r="F26" s="29"/>
      <c r="G26" s="29"/>
      <c r="H26" s="29"/>
      <c r="I26" s="29"/>
      <c r="J26" s="29"/>
    </row>
    <row r="27" spans="1:10" s="32" customFormat="1">
      <c r="A27" s="17" t="s">
        <v>62</v>
      </c>
      <c r="B27" s="27">
        <f>SUM(B24:B26)</f>
        <v>431</v>
      </c>
      <c r="C27" s="27"/>
      <c r="D27" s="27"/>
      <c r="E27" s="27"/>
      <c r="F27" s="27"/>
      <c r="G27" s="27"/>
      <c r="H27" s="27"/>
      <c r="I27" s="27"/>
      <c r="J27" s="27"/>
    </row>
    <row r="28" spans="1:10" s="24" customFormat="1"/>
    <row r="29" spans="1:10" s="17" customFormat="1">
      <c r="A29" s="17" t="s">
        <v>58</v>
      </c>
      <c r="B29" s="27">
        <f>B22</f>
        <v>96</v>
      </c>
      <c r="C29" s="27"/>
      <c r="D29" s="27"/>
      <c r="E29" s="27"/>
      <c r="F29" s="27">
        <f>F22</f>
        <v>87</v>
      </c>
      <c r="G29" s="27"/>
      <c r="H29" s="27"/>
      <c r="I29" s="27"/>
      <c r="J29" s="27"/>
    </row>
    <row r="30" spans="1:10" s="33" customFormat="1">
      <c r="A30" s="20" t="s">
        <v>63</v>
      </c>
      <c r="B30" s="20"/>
      <c r="C30" s="20"/>
      <c r="D30" s="20"/>
      <c r="E30" s="20"/>
      <c r="F30" s="20"/>
      <c r="G30" s="20"/>
      <c r="H30" s="20"/>
      <c r="I30" s="20"/>
      <c r="J30" s="20"/>
    </row>
    <row r="31" spans="1:10" s="33" customFormat="1">
      <c r="A31" s="20" t="s">
        <v>64</v>
      </c>
      <c r="B31" s="20"/>
      <c r="C31" s="20"/>
      <c r="D31" s="20"/>
      <c r="E31" s="20"/>
      <c r="F31" s="20"/>
      <c r="G31" s="20"/>
      <c r="H31" s="20"/>
      <c r="I31" s="20"/>
      <c r="J31" s="20"/>
    </row>
    <row r="32" spans="1:10" s="33" customFormat="1">
      <c r="A32" s="20" t="s">
        <v>65</v>
      </c>
      <c r="B32" s="20"/>
      <c r="C32" s="20"/>
      <c r="D32" s="20"/>
      <c r="E32" s="20"/>
      <c r="F32" s="20"/>
      <c r="G32" s="20"/>
      <c r="H32" s="20"/>
      <c r="I32" s="20"/>
      <c r="J32" s="20"/>
    </row>
    <row r="33" spans="1:10" s="33" customFormat="1">
      <c r="A33" s="20" t="s">
        <v>66</v>
      </c>
      <c r="B33" s="20"/>
      <c r="C33" s="20"/>
      <c r="D33" s="20"/>
      <c r="E33" s="20"/>
      <c r="F33" s="20"/>
      <c r="G33" s="20"/>
      <c r="H33" s="20"/>
      <c r="I33" s="20"/>
      <c r="J33" s="20"/>
    </row>
    <row r="34" spans="1:10" s="33" customFormat="1">
      <c r="A34" s="20" t="s">
        <v>57</v>
      </c>
      <c r="B34" s="29"/>
      <c r="C34" s="29"/>
      <c r="D34" s="29"/>
      <c r="E34" s="29"/>
      <c r="F34" s="29"/>
      <c r="G34" s="29"/>
      <c r="H34" s="29"/>
      <c r="I34" s="29"/>
      <c r="J34" s="29"/>
    </row>
    <row r="35" spans="1:10" s="27" customFormat="1">
      <c r="A35" s="27" t="s">
        <v>67</v>
      </c>
      <c r="B35" s="27">
        <f>B37-B36</f>
        <v>-21</v>
      </c>
      <c r="F35" s="27">
        <f>F37-F36</f>
        <v>-91</v>
      </c>
    </row>
    <row r="36" spans="1:10" s="33" customFormat="1">
      <c r="A36" s="20" t="s">
        <v>68</v>
      </c>
      <c r="B36" s="29">
        <v>-10</v>
      </c>
      <c r="C36" s="29"/>
      <c r="D36" s="29"/>
      <c r="E36" s="29"/>
      <c r="F36" s="29">
        <v>-19</v>
      </c>
      <c r="G36" s="29"/>
      <c r="H36" s="29"/>
      <c r="I36" s="29"/>
      <c r="J36" s="29"/>
    </row>
    <row r="37" spans="1:10" s="27" customFormat="1">
      <c r="A37" s="27" t="s">
        <v>69</v>
      </c>
      <c r="B37" s="46">
        <v>-31</v>
      </c>
      <c r="F37" s="46">
        <v>-110</v>
      </c>
    </row>
    <row r="39" spans="1:10" s="35" customFormat="1">
      <c r="A39" s="34" t="s">
        <v>70</v>
      </c>
      <c r="B39" s="20">
        <v>194</v>
      </c>
      <c r="C39" s="20">
        <v>252</v>
      </c>
      <c r="D39" s="20">
        <v>195</v>
      </c>
      <c r="E39" s="20">
        <v>187</v>
      </c>
      <c r="F39" s="20">
        <v>0</v>
      </c>
      <c r="G39" s="20">
        <v>0</v>
      </c>
      <c r="H39" s="20"/>
      <c r="I39" s="20"/>
      <c r="J39" s="20"/>
    </row>
    <row r="40" spans="1:10" s="35" customFormat="1">
      <c r="A40" s="34" t="s">
        <v>71</v>
      </c>
      <c r="B40" s="20">
        <f>1176+1033+166</f>
        <v>2375</v>
      </c>
      <c r="C40" s="20">
        <f>1179+1010+179</f>
        <v>2368</v>
      </c>
      <c r="D40" s="20">
        <f>1182+999+172</f>
        <v>2353</v>
      </c>
      <c r="E40" s="20">
        <f>1185+979+204</f>
        <v>2368</v>
      </c>
      <c r="F40" s="20">
        <f>1352+305</f>
        <v>1657</v>
      </c>
      <c r="G40" s="20">
        <f>1352+305</f>
        <v>1657</v>
      </c>
      <c r="H40" s="20"/>
      <c r="I40" s="20"/>
      <c r="J40" s="20"/>
    </row>
    <row r="41" spans="1:10" s="35" customFormat="1">
      <c r="A41" s="34" t="s">
        <v>72</v>
      </c>
      <c r="B41" s="20">
        <f>B39+B40+672</f>
        <v>3241</v>
      </c>
      <c r="C41" s="20">
        <f>C39+C40+672</f>
        <v>3292</v>
      </c>
      <c r="D41" s="20">
        <f>D39+D40+672</f>
        <v>3220</v>
      </c>
      <c r="E41" s="20">
        <f>E39+E40+672</f>
        <v>3227</v>
      </c>
      <c r="F41" s="20">
        <f>F39+F40+512+165</f>
        <v>2334</v>
      </c>
      <c r="G41" s="20">
        <f>G39+G40+512+165</f>
        <v>2334</v>
      </c>
      <c r="H41" s="20"/>
      <c r="I41" s="20"/>
      <c r="J41" s="20"/>
    </row>
    <row r="42" spans="1:10" s="35" customFormat="1">
      <c r="A42" s="34" t="s">
        <v>73</v>
      </c>
      <c r="B42" s="36">
        <v>1978</v>
      </c>
      <c r="C42" s="36">
        <v>1978</v>
      </c>
      <c r="D42" s="36">
        <v>1978</v>
      </c>
      <c r="E42" s="36">
        <v>1978</v>
      </c>
      <c r="F42" s="36">
        <v>1978</v>
      </c>
      <c r="G42" s="36">
        <v>1978</v>
      </c>
      <c r="H42" s="36"/>
      <c r="I42" s="36"/>
      <c r="J42" s="36"/>
    </row>
    <row r="43" spans="1:10">
      <c r="B43" s="35"/>
      <c r="C43" s="35"/>
      <c r="D43" s="35"/>
      <c r="E43" s="35"/>
      <c r="F43" s="35"/>
      <c r="G43" s="35"/>
      <c r="H43" s="35"/>
      <c r="I43" s="35"/>
    </row>
    <row r="44" spans="1:10">
      <c r="A44" s="19" t="s">
        <v>74</v>
      </c>
      <c r="B44" s="28">
        <v>2413</v>
      </c>
      <c r="C44" s="28">
        <v>2512</v>
      </c>
      <c r="D44" s="28">
        <v>1003</v>
      </c>
      <c r="E44" s="28">
        <v>426</v>
      </c>
      <c r="F44" s="28">
        <v>15</v>
      </c>
      <c r="G44" s="28">
        <v>15</v>
      </c>
      <c r="H44" s="28"/>
      <c r="I44" s="28"/>
      <c r="J44" s="28"/>
    </row>
    <row r="46" spans="1:10">
      <c r="A46" s="14" t="s">
        <v>75</v>
      </c>
      <c r="B46" s="51">
        <v>1567</v>
      </c>
      <c r="C46" s="51">
        <v>1524</v>
      </c>
      <c r="D46" s="51"/>
      <c r="E46" s="51">
        <v>2357</v>
      </c>
      <c r="F46" s="51">
        <v>2008</v>
      </c>
      <c r="G46" s="51">
        <v>2008</v>
      </c>
      <c r="H46" s="33"/>
      <c r="I46" s="33"/>
      <c r="J46" s="33"/>
    </row>
    <row r="47" spans="1:10">
      <c r="A47" s="14" t="s">
        <v>76</v>
      </c>
      <c r="B47" s="58">
        <f>B27</f>
        <v>431</v>
      </c>
      <c r="C47" s="51">
        <v>425</v>
      </c>
      <c r="D47" s="51">
        <v>552</v>
      </c>
      <c r="E47" s="51">
        <v>564</v>
      </c>
      <c r="F47" s="51">
        <v>414.8</v>
      </c>
      <c r="G47" s="51">
        <v>414.8</v>
      </c>
      <c r="H47" s="33"/>
      <c r="I47" s="33"/>
      <c r="J47" s="33"/>
    </row>
    <row r="48" spans="1:10">
      <c r="A48" s="14" t="s">
        <v>77</v>
      </c>
      <c r="B48" s="51">
        <f>C48+B37-F37</f>
        <v>197</v>
      </c>
      <c r="C48" s="51">
        <v>118</v>
      </c>
      <c r="D48" s="51"/>
      <c r="E48" s="51"/>
      <c r="F48" s="51">
        <v>156.5455</v>
      </c>
      <c r="G48" s="51">
        <v>156.5455</v>
      </c>
      <c r="H48" s="33"/>
      <c r="I48" s="33"/>
      <c r="J48" s="33"/>
    </row>
    <row r="50" spans="1:10" s="37" customFormat="1">
      <c r="A50" s="37" t="s">
        <v>78</v>
      </c>
      <c r="B50" s="37">
        <f t="shared" ref="B50:G50" si="1">+SUM(B39:B40)/B47</f>
        <v>5.9605568445475638</v>
      </c>
      <c r="C50" s="37">
        <f t="shared" si="1"/>
        <v>6.1647058823529415</v>
      </c>
      <c r="D50" s="37">
        <f t="shared" si="1"/>
        <v>4.6159420289855069</v>
      </c>
      <c r="E50" s="37">
        <f t="shared" si="1"/>
        <v>4.5301418439716308</v>
      </c>
      <c r="F50" s="37">
        <f t="shared" si="1"/>
        <v>3.994696239151398</v>
      </c>
      <c r="G50" s="37">
        <f t="shared" si="1"/>
        <v>3.994696239151398</v>
      </c>
    </row>
    <row r="51" spans="1:10" s="37" customFormat="1">
      <c r="A51" s="37" t="s">
        <v>79</v>
      </c>
      <c r="B51" s="37">
        <f t="shared" ref="B51:G51" si="2">+B41/B47</f>
        <v>7.5197215777262185</v>
      </c>
      <c r="C51" s="37">
        <f t="shared" si="2"/>
        <v>7.7458823529411767</v>
      </c>
      <c r="D51" s="37">
        <f t="shared" si="2"/>
        <v>5.833333333333333</v>
      </c>
      <c r="E51" s="37">
        <f t="shared" si="2"/>
        <v>5.7216312056737593</v>
      </c>
      <c r="F51" s="37">
        <f t="shared" si="2"/>
        <v>5.6268081002892956</v>
      </c>
      <c r="G51" s="37">
        <f t="shared" si="2"/>
        <v>5.6268081002892956</v>
      </c>
    </row>
    <row r="52" spans="1:10" s="37" customFormat="1">
      <c r="A52" s="37" t="s">
        <v>80</v>
      </c>
      <c r="B52" s="37">
        <f t="shared" ref="B52:G52" si="3">+(B41-B44)/B47</f>
        <v>1.9211136890951277</v>
      </c>
      <c r="C52" s="37">
        <f t="shared" si="3"/>
        <v>1.8352941176470587</v>
      </c>
      <c r="D52" s="37">
        <f t="shared" si="3"/>
        <v>4.0163043478260869</v>
      </c>
      <c r="E52" s="37">
        <f t="shared" si="3"/>
        <v>4.9663120567375882</v>
      </c>
      <c r="F52" s="37">
        <f t="shared" si="3"/>
        <v>5.5906460945033754</v>
      </c>
      <c r="G52" s="37">
        <f t="shared" si="3"/>
        <v>5.5906460945033754</v>
      </c>
    </row>
    <row r="53" spans="1:10" s="38" customFormat="1">
      <c r="A53" s="38" t="s">
        <v>81</v>
      </c>
      <c r="B53" s="38">
        <f t="shared" ref="B53:G53" si="4">+B48/B41</f>
        <v>6.0783708731872881E-2</v>
      </c>
      <c r="C53" s="38">
        <f t="shared" si="4"/>
        <v>3.5844471445929525E-2</v>
      </c>
      <c r="D53" s="38">
        <f t="shared" si="4"/>
        <v>0</v>
      </c>
      <c r="E53" s="38">
        <f t="shared" si="4"/>
        <v>0</v>
      </c>
      <c r="F53" s="38">
        <f t="shared" si="4"/>
        <v>6.7071765209940015E-2</v>
      </c>
      <c r="G53" s="38">
        <f t="shared" si="4"/>
        <v>6.7071765209940015E-2</v>
      </c>
    </row>
    <row r="54" spans="1:10" s="38" customFormat="1">
      <c r="A54" s="39" t="s">
        <v>82</v>
      </c>
      <c r="B54" s="40"/>
      <c r="C54" s="40"/>
      <c r="D54" s="40"/>
      <c r="E54" s="40"/>
      <c r="F54" s="40"/>
      <c r="G54" s="40"/>
      <c r="H54" s="40"/>
      <c r="I54" s="40"/>
      <c r="J54" s="40"/>
    </row>
    <row r="55" spans="1:10" s="38" customFormat="1">
      <c r="A55" s="38" t="s">
        <v>83</v>
      </c>
      <c r="B55" s="41">
        <f t="shared" ref="B55:G55" si="5">IF(B42=0,IF(B54="","","*"&amp;TEXT(B54,"0.0x")),(B41+B42-B44)/B47)</f>
        <v>6.510440835266821</v>
      </c>
      <c r="C55" s="41">
        <f t="shared" si="5"/>
        <v>6.4894117647058822</v>
      </c>
      <c r="D55" s="41">
        <f t="shared" si="5"/>
        <v>7.59963768115942</v>
      </c>
      <c r="E55" s="41">
        <f t="shared" si="5"/>
        <v>8.4734042553191493</v>
      </c>
      <c r="F55" s="41">
        <f t="shared" si="5"/>
        <v>10.359209257473481</v>
      </c>
      <c r="G55" s="41">
        <f t="shared" si="5"/>
        <v>10.359209257473481</v>
      </c>
      <c r="H55" s="41"/>
      <c r="I55" s="41"/>
      <c r="J55" s="41"/>
    </row>
    <row r="57" spans="1:10" ht="80.25" customHeight="1">
      <c r="A57" s="43" t="s">
        <v>84</v>
      </c>
      <c r="B57" s="44" t="s">
        <v>577</v>
      </c>
      <c r="C57" s="44" t="s">
        <v>577</v>
      </c>
      <c r="D57" s="44" t="s">
        <v>577</v>
      </c>
      <c r="E57" s="44" t="s">
        <v>577</v>
      </c>
      <c r="F57" s="44" t="s">
        <v>541</v>
      </c>
      <c r="G57" s="44" t="s">
        <v>541</v>
      </c>
      <c r="H57" s="44"/>
      <c r="I57" s="44"/>
      <c r="J57" s="44"/>
    </row>
    <row r="58" spans="1:10">
      <c r="A58" s="45"/>
      <c r="B58" s="42"/>
      <c r="C58" s="42"/>
      <c r="D58" s="42"/>
      <c r="E58" s="42"/>
      <c r="F58" s="42"/>
      <c r="G58" s="42"/>
    </row>
    <row r="59" spans="1:10">
      <c r="A59" s="45"/>
    </row>
  </sheetData>
  <pageMargins left="0.7" right="0.7" top="0.75" bottom="0.75" header="0.3" footer="0.3"/>
  <pageSetup orientation="portrait" r:id="rId1"/>
  <legacy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345E4-AE60-4C57-9F17-A61708BA6D24}">
  <dimension ref="A2:L59"/>
  <sheetViews>
    <sheetView showGridLines="0" zoomScaleNormal="100" workbookViewId="0">
      <pane xSplit="1" ySplit="10" topLeftCell="B11" activePane="bottomRight" state="frozen"/>
      <selection activeCell="B8" sqref="B8"/>
      <selection pane="topRight" activeCell="B8" sqref="B8"/>
      <selection pane="bottomLeft" activeCell="B8" sqref="B8"/>
      <selection pane="bottomRight" activeCell="B11" sqref="B11"/>
    </sheetView>
  </sheetViews>
  <sheetFormatPr defaultColWidth="9.109375" defaultRowHeight="13.8"/>
  <cols>
    <col min="1" max="1" width="22.6640625" style="14" customWidth="1"/>
    <col min="2" max="12" width="10.6640625" style="14" customWidth="1"/>
    <col min="13" max="16384" width="9.109375" style="14"/>
  </cols>
  <sheetData>
    <row r="2" spans="1:12">
      <c r="A2" s="13" t="s">
        <v>44</v>
      </c>
      <c r="B2" s="14" t="s">
        <v>562</v>
      </c>
    </row>
    <row r="3" spans="1:12" s="16" customFormat="1">
      <c r="A3" s="15" t="s">
        <v>45</v>
      </c>
      <c r="B3" s="16" t="s">
        <v>565</v>
      </c>
    </row>
    <row r="4" spans="1:12">
      <c r="A4" s="13" t="s">
        <v>2</v>
      </c>
      <c r="B4" s="14" t="s">
        <v>4</v>
      </c>
    </row>
    <row r="5" spans="1:12">
      <c r="A5" s="13" t="s">
        <v>46</v>
      </c>
    </row>
    <row r="6" spans="1:12">
      <c r="A6" s="13" t="s">
        <v>47</v>
      </c>
      <c r="B6" s="14">
        <v>3</v>
      </c>
    </row>
    <row r="7" spans="1:12">
      <c r="A7" s="13" t="s">
        <v>48</v>
      </c>
      <c r="B7" s="14" t="s">
        <v>567</v>
      </c>
    </row>
    <row r="8" spans="1:12">
      <c r="A8" s="13" t="s">
        <v>347</v>
      </c>
      <c r="B8" s="14" t="s">
        <v>566</v>
      </c>
    </row>
    <row r="9" spans="1:12">
      <c r="A9" s="17"/>
    </row>
    <row r="10" spans="1:12">
      <c r="A10" s="17" t="s">
        <v>49</v>
      </c>
      <c r="B10" s="18">
        <v>44286</v>
      </c>
      <c r="C10" s="18">
        <v>44196</v>
      </c>
      <c r="D10" s="18">
        <v>44104</v>
      </c>
      <c r="E10" s="18">
        <v>44012</v>
      </c>
      <c r="F10" s="18">
        <f>EOMONTH(E10,-3)</f>
        <v>43921</v>
      </c>
      <c r="G10" s="18">
        <f t="shared" ref="G10:L10" si="0">EOMONTH(F10,-3)</f>
        <v>43830</v>
      </c>
      <c r="H10" s="18">
        <f t="shared" si="0"/>
        <v>43738</v>
      </c>
      <c r="I10" s="18">
        <f t="shared" si="0"/>
        <v>43646</v>
      </c>
      <c r="J10" s="18">
        <f t="shared" si="0"/>
        <v>43555</v>
      </c>
      <c r="K10" s="18">
        <f t="shared" si="0"/>
        <v>43465</v>
      </c>
      <c r="L10" s="18">
        <f t="shared" si="0"/>
        <v>43373</v>
      </c>
    </row>
    <row r="12" spans="1:12">
      <c r="A12" s="19" t="s">
        <v>50</v>
      </c>
      <c r="B12" s="20"/>
      <c r="C12" s="20"/>
      <c r="D12" s="20"/>
      <c r="E12" s="20"/>
      <c r="F12" s="20"/>
      <c r="G12" s="20"/>
      <c r="H12" s="20"/>
      <c r="I12" s="20"/>
      <c r="J12" s="20"/>
      <c r="K12" s="20"/>
      <c r="L12" s="20"/>
    </row>
    <row r="13" spans="1:12" s="21" customFormat="1">
      <c r="A13" s="21" t="s">
        <v>51</v>
      </c>
    </row>
    <row r="14" spans="1:12" s="24" customFormat="1">
      <c r="A14" s="22" t="s">
        <v>52</v>
      </c>
      <c r="B14" s="23"/>
      <c r="C14" s="23"/>
      <c r="D14" s="23"/>
      <c r="E14" s="23"/>
      <c r="F14" s="23"/>
      <c r="G14" s="23"/>
      <c r="H14" s="23"/>
      <c r="I14" s="22"/>
      <c r="J14" s="22"/>
      <c r="K14" s="22"/>
      <c r="L14" s="22"/>
    </row>
    <row r="16" spans="1:12" s="17" customFormat="1">
      <c r="A16" s="25" t="s">
        <v>53</v>
      </c>
      <c r="B16" s="26"/>
      <c r="C16" s="26"/>
      <c r="D16" s="26"/>
      <c r="E16" s="26"/>
      <c r="F16" s="26"/>
      <c r="G16" s="26"/>
      <c r="H16" s="26"/>
      <c r="I16" s="26"/>
      <c r="J16" s="26"/>
      <c r="K16" s="26"/>
      <c r="L16" s="26"/>
    </row>
    <row r="17" spans="1:12" s="21" customFormat="1">
      <c r="A17" s="21" t="s">
        <v>54</v>
      </c>
    </row>
    <row r="18" spans="1:12" s="24" customFormat="1"/>
    <row r="19" spans="1:12" s="24" customFormat="1">
      <c r="A19" s="19" t="s">
        <v>55</v>
      </c>
      <c r="B19" s="20"/>
      <c r="C19" s="20"/>
      <c r="D19" s="20"/>
      <c r="E19" s="20"/>
      <c r="F19" s="20"/>
      <c r="G19" s="20"/>
      <c r="H19" s="20"/>
      <c r="I19" s="20"/>
      <c r="J19" s="20"/>
      <c r="K19" s="20"/>
      <c r="L19" s="20"/>
    </row>
    <row r="20" spans="1:12" s="24" customFormat="1">
      <c r="A20" s="19" t="s">
        <v>56</v>
      </c>
      <c r="B20" s="20"/>
      <c r="C20" s="20"/>
      <c r="D20" s="20"/>
      <c r="E20" s="20"/>
      <c r="F20" s="20"/>
      <c r="G20" s="20"/>
      <c r="H20" s="20"/>
      <c r="I20" s="20"/>
      <c r="J20" s="20"/>
      <c r="K20" s="20"/>
      <c r="L20" s="20"/>
    </row>
    <row r="21" spans="1:12" s="24" customFormat="1">
      <c r="A21" s="19" t="s">
        <v>57</v>
      </c>
      <c r="B21" s="20"/>
      <c r="C21" s="20"/>
      <c r="D21" s="20"/>
      <c r="E21" s="20"/>
      <c r="F21" s="20"/>
      <c r="G21" s="20"/>
      <c r="H21" s="20"/>
      <c r="I21" s="20"/>
      <c r="J21" s="20"/>
      <c r="K21" s="20"/>
      <c r="L21" s="20"/>
    </row>
    <row r="22" spans="1:12" s="17" customFormat="1">
      <c r="A22" s="17" t="s">
        <v>58</v>
      </c>
      <c r="B22" s="27"/>
      <c r="C22" s="27"/>
      <c r="D22" s="27"/>
      <c r="E22" s="27"/>
      <c r="F22" s="27"/>
      <c r="G22" s="27"/>
      <c r="H22" s="27"/>
      <c r="I22" s="27"/>
      <c r="J22" s="27"/>
      <c r="K22" s="27"/>
      <c r="L22" s="27"/>
    </row>
    <row r="23" spans="1:12" s="17" customFormat="1">
      <c r="B23" s="27"/>
      <c r="C23" s="27"/>
      <c r="D23" s="27"/>
      <c r="E23" s="27"/>
      <c r="F23" s="27"/>
      <c r="G23" s="27"/>
      <c r="H23" s="27"/>
      <c r="I23" s="27"/>
      <c r="J23" s="27"/>
      <c r="K23" s="27"/>
      <c r="L23" s="27"/>
    </row>
    <row r="24" spans="1:12" s="17" customFormat="1">
      <c r="A24" s="17" t="s">
        <v>59</v>
      </c>
      <c r="B24" s="27"/>
      <c r="C24" s="27"/>
      <c r="D24" s="27"/>
      <c r="E24" s="27"/>
      <c r="F24" s="27"/>
      <c r="G24" s="27"/>
      <c r="H24" s="27"/>
      <c r="I24" s="27"/>
      <c r="J24" s="27"/>
      <c r="K24" s="27"/>
      <c r="L24" s="27"/>
    </row>
    <row r="25" spans="1:12" s="24" customFormat="1">
      <c r="A25" s="19" t="s">
        <v>60</v>
      </c>
      <c r="B25" s="28"/>
      <c r="C25" s="28"/>
      <c r="D25" s="28"/>
      <c r="E25" s="28"/>
      <c r="F25" s="28"/>
      <c r="G25" s="28"/>
      <c r="H25" s="28"/>
      <c r="I25" s="28"/>
      <c r="J25" s="28"/>
      <c r="K25" s="28"/>
      <c r="L25" s="28"/>
    </row>
    <row r="26" spans="1:12" s="24" customFormat="1">
      <c r="A26" s="19" t="s">
        <v>61</v>
      </c>
      <c r="B26" s="29"/>
      <c r="C26" s="29"/>
      <c r="D26" s="29"/>
      <c r="E26" s="29"/>
      <c r="F26" s="29"/>
      <c r="G26" s="29"/>
      <c r="H26" s="29"/>
      <c r="I26" s="29"/>
      <c r="J26" s="30"/>
      <c r="K26" s="30"/>
      <c r="L26" s="30"/>
    </row>
    <row r="27" spans="1:12" s="32" customFormat="1">
      <c r="A27" s="17" t="s">
        <v>62</v>
      </c>
      <c r="B27" s="27"/>
      <c r="C27" s="27"/>
      <c r="D27" s="27"/>
      <c r="E27" s="27"/>
      <c r="F27" s="27"/>
      <c r="G27" s="27"/>
      <c r="H27" s="27"/>
      <c r="I27" s="27"/>
      <c r="J27" s="31"/>
      <c r="K27" s="31"/>
      <c r="L27" s="31"/>
    </row>
    <row r="28" spans="1:12" s="24" customFormat="1"/>
    <row r="29" spans="1:12" s="17" customFormat="1">
      <c r="A29" s="17" t="s">
        <v>58</v>
      </c>
      <c r="B29" s="27"/>
      <c r="C29" s="27"/>
      <c r="D29" s="27"/>
      <c r="E29" s="27"/>
      <c r="F29" s="27"/>
      <c r="G29" s="27"/>
      <c r="H29" s="27"/>
      <c r="I29" s="27"/>
      <c r="J29" s="27"/>
      <c r="K29" s="27"/>
      <c r="L29" s="27"/>
    </row>
    <row r="30" spans="1:12" s="33" customFormat="1">
      <c r="A30" s="20" t="s">
        <v>63</v>
      </c>
      <c r="B30" s="20"/>
      <c r="C30" s="20"/>
      <c r="D30" s="20"/>
      <c r="E30" s="20"/>
      <c r="F30" s="20"/>
      <c r="G30" s="20"/>
      <c r="H30" s="20"/>
      <c r="I30" s="20"/>
      <c r="J30" s="20"/>
      <c r="K30" s="20"/>
      <c r="L30" s="20"/>
    </row>
    <row r="31" spans="1:12" s="33" customFormat="1">
      <c r="A31" s="20" t="s">
        <v>64</v>
      </c>
      <c r="B31" s="20"/>
      <c r="C31" s="20"/>
      <c r="D31" s="20"/>
      <c r="E31" s="20"/>
      <c r="F31" s="20"/>
      <c r="G31" s="20"/>
      <c r="H31" s="20"/>
      <c r="I31" s="20"/>
      <c r="J31" s="20"/>
      <c r="K31" s="20"/>
      <c r="L31" s="20"/>
    </row>
    <row r="32" spans="1:12" s="33" customFormat="1">
      <c r="A32" s="20" t="s">
        <v>65</v>
      </c>
      <c r="B32" s="20"/>
      <c r="C32" s="20"/>
      <c r="D32" s="20"/>
      <c r="E32" s="20"/>
      <c r="F32" s="20"/>
      <c r="G32" s="20"/>
      <c r="H32" s="20"/>
      <c r="I32" s="20"/>
      <c r="J32" s="20"/>
      <c r="K32" s="20"/>
      <c r="L32" s="20"/>
    </row>
    <row r="33" spans="1:12" s="33" customFormat="1">
      <c r="A33" s="20" t="s">
        <v>66</v>
      </c>
      <c r="B33" s="20"/>
      <c r="C33" s="20"/>
      <c r="D33" s="20"/>
      <c r="E33" s="20"/>
      <c r="F33" s="20"/>
      <c r="G33" s="20"/>
      <c r="H33" s="20"/>
      <c r="I33" s="20"/>
      <c r="J33" s="20"/>
      <c r="K33" s="20"/>
      <c r="L33" s="20"/>
    </row>
    <row r="34" spans="1:12" s="33" customFormat="1">
      <c r="A34" s="20" t="s">
        <v>57</v>
      </c>
      <c r="B34" s="29"/>
      <c r="C34" s="29"/>
      <c r="D34" s="29"/>
      <c r="E34" s="29"/>
      <c r="F34" s="29"/>
      <c r="G34" s="29"/>
      <c r="H34" s="29"/>
      <c r="I34" s="29"/>
      <c r="J34" s="29"/>
      <c r="K34" s="29"/>
      <c r="L34" s="29"/>
    </row>
    <row r="35" spans="1:12" s="27" customFormat="1">
      <c r="A35" s="27" t="s">
        <v>67</v>
      </c>
    </row>
    <row r="36" spans="1:12" s="33" customFormat="1">
      <c r="A36" s="20" t="s">
        <v>68</v>
      </c>
      <c r="B36" s="29"/>
      <c r="C36" s="29"/>
      <c r="D36" s="29"/>
      <c r="E36" s="29"/>
      <c r="F36" s="29"/>
      <c r="G36" s="29"/>
      <c r="H36" s="29"/>
      <c r="I36" s="29"/>
      <c r="J36" s="29"/>
      <c r="K36" s="29"/>
      <c r="L36" s="29"/>
    </row>
    <row r="37" spans="1:12" s="27" customFormat="1">
      <c r="A37" s="27" t="s">
        <v>69</v>
      </c>
    </row>
    <row r="39" spans="1:12" s="35" customFormat="1">
      <c r="A39" s="34" t="s">
        <v>70</v>
      </c>
      <c r="B39" s="20">
        <v>391</v>
      </c>
      <c r="C39" s="20"/>
      <c r="D39" s="20"/>
      <c r="E39" s="20">
        <v>0</v>
      </c>
      <c r="F39" s="20"/>
      <c r="G39" s="20"/>
      <c r="H39" s="20"/>
      <c r="I39" s="20"/>
      <c r="J39" s="20"/>
      <c r="K39" s="20"/>
      <c r="L39" s="20"/>
    </row>
    <row r="40" spans="1:12" s="35" customFormat="1">
      <c r="A40" s="34" t="s">
        <v>71</v>
      </c>
      <c r="B40" s="20">
        <f>2440+1015+1330+1100+500+200</f>
        <v>6585</v>
      </c>
      <c r="C40" s="20"/>
      <c r="D40" s="20"/>
      <c r="E40" s="20">
        <f>500+3050+3000</f>
        <v>6550</v>
      </c>
      <c r="F40" s="20"/>
      <c r="G40" s="20"/>
      <c r="H40" s="20"/>
      <c r="I40" s="20"/>
      <c r="J40" s="20"/>
      <c r="K40" s="20"/>
      <c r="L40" s="20"/>
    </row>
    <row r="41" spans="1:12" s="35" customFormat="1">
      <c r="A41" s="34" t="s">
        <v>72</v>
      </c>
      <c r="B41" s="20">
        <f>B39+B40+342+585+511+45</f>
        <v>8459</v>
      </c>
      <c r="C41" s="20"/>
      <c r="D41" s="20">
        <v>11440</v>
      </c>
      <c r="E41" s="20">
        <f>E39+E40+1050+650+4+2000</f>
        <v>10254</v>
      </c>
      <c r="F41" s="20"/>
      <c r="G41" s="20"/>
      <c r="H41" s="20"/>
      <c r="I41" s="20"/>
      <c r="J41" s="20"/>
      <c r="K41" s="20"/>
      <c r="L41" s="20"/>
    </row>
    <row r="42" spans="1:12" s="35" customFormat="1">
      <c r="A42" s="34" t="s">
        <v>73</v>
      </c>
      <c r="B42" s="36">
        <v>6372</v>
      </c>
      <c r="C42" s="36"/>
      <c r="D42" s="36"/>
      <c r="E42" s="36">
        <v>6372</v>
      </c>
      <c r="F42" s="36"/>
      <c r="G42" s="36"/>
      <c r="H42" s="36"/>
      <c r="I42" s="36"/>
      <c r="J42" s="36"/>
      <c r="K42" s="36"/>
      <c r="L42" s="36"/>
    </row>
    <row r="43" spans="1:12">
      <c r="B43" s="35"/>
      <c r="C43" s="35"/>
      <c r="D43" s="35"/>
      <c r="E43" s="35"/>
      <c r="F43" s="35"/>
      <c r="G43" s="35"/>
    </row>
    <row r="44" spans="1:12">
      <c r="A44" s="19" t="s">
        <v>74</v>
      </c>
      <c r="B44" s="28">
        <v>492</v>
      </c>
      <c r="C44" s="28"/>
      <c r="D44" s="28">
        <v>552</v>
      </c>
      <c r="E44" s="28">
        <v>100</v>
      </c>
      <c r="F44" s="28"/>
      <c r="G44" s="28"/>
      <c r="H44" s="28"/>
      <c r="I44" s="28"/>
      <c r="J44" s="57"/>
      <c r="K44" s="57"/>
      <c r="L44" s="57"/>
    </row>
    <row r="46" spans="1:12">
      <c r="A46" s="14" t="s">
        <v>75</v>
      </c>
      <c r="B46" s="51"/>
      <c r="C46" s="51"/>
      <c r="D46" s="51"/>
      <c r="E46" s="51">
        <v>8000</v>
      </c>
      <c r="F46" s="33"/>
      <c r="G46" s="33"/>
      <c r="H46" s="33"/>
      <c r="I46" s="33"/>
    </row>
    <row r="47" spans="1:12">
      <c r="A47" s="14" t="s">
        <v>76</v>
      </c>
      <c r="B47" s="51">
        <v>1275</v>
      </c>
      <c r="C47" s="51"/>
      <c r="D47" s="51"/>
      <c r="E47" s="51">
        <v>1323</v>
      </c>
      <c r="F47" s="33"/>
      <c r="G47" s="33"/>
      <c r="H47" s="33"/>
      <c r="I47" s="33"/>
    </row>
    <row r="48" spans="1:12">
      <c r="A48" s="14" t="s">
        <v>77</v>
      </c>
      <c r="B48" s="51"/>
      <c r="C48" s="51"/>
      <c r="D48" s="51"/>
      <c r="E48" s="51">
        <v>469.60500000000002</v>
      </c>
      <c r="F48" s="33"/>
      <c r="G48" s="33"/>
      <c r="H48" s="33"/>
      <c r="I48" s="33"/>
    </row>
    <row r="50" spans="1:12" s="37" customFormat="1">
      <c r="A50" s="37" t="s">
        <v>78</v>
      </c>
      <c r="B50" s="37">
        <f>+SUM(B39:B40)/B47</f>
        <v>5.4713725490196081</v>
      </c>
      <c r="E50" s="37">
        <f>+SUM(E39:E40)/E47</f>
        <v>4.9508692365835225</v>
      </c>
    </row>
    <row r="51" spans="1:12" s="37" customFormat="1">
      <c r="A51" s="37" t="s">
        <v>79</v>
      </c>
      <c r="B51" s="37">
        <f>+B41/B47</f>
        <v>6.6345098039215689</v>
      </c>
      <c r="E51" s="37">
        <f>+E41/E47</f>
        <v>7.7505668934240362</v>
      </c>
    </row>
    <row r="52" spans="1:12" s="37" customFormat="1">
      <c r="A52" s="37" t="s">
        <v>80</v>
      </c>
      <c r="B52" s="37">
        <f>+(B41-B44)/B47</f>
        <v>6.2486274509803925</v>
      </c>
      <c r="E52" s="37">
        <f>+(E41-E44)/E47</f>
        <v>7.6749811035525317</v>
      </c>
    </row>
    <row r="53" spans="1:12" s="38" customFormat="1">
      <c r="A53" s="38" t="s">
        <v>81</v>
      </c>
      <c r="B53" s="38">
        <f>+B48/B41</f>
        <v>0</v>
      </c>
      <c r="E53" s="38">
        <f>+E48/E41</f>
        <v>4.5797249853715624E-2</v>
      </c>
    </row>
    <row r="54" spans="1:12" s="38" customFormat="1">
      <c r="A54" s="39" t="s">
        <v>82</v>
      </c>
      <c r="B54" s="40"/>
      <c r="C54" s="40"/>
      <c r="D54" s="40"/>
      <c r="E54" s="40"/>
      <c r="F54" s="40"/>
      <c r="G54" s="40"/>
      <c r="H54" s="40"/>
      <c r="I54" s="40"/>
      <c r="J54" s="39"/>
      <c r="K54" s="39"/>
      <c r="L54" s="39"/>
    </row>
    <row r="55" spans="1:12" s="38" customFormat="1">
      <c r="A55" s="38" t="s">
        <v>83</v>
      </c>
      <c r="B55" s="41">
        <f>IF(B42=0,IF(B54="","","*"&amp;TEXT(B54,"0.0x")),(B41+B42-B44)/B47)</f>
        <v>11.246274509803921</v>
      </c>
      <c r="C55" s="41"/>
      <c r="D55" s="41"/>
      <c r="E55" s="41">
        <f>IF(E42=0,IF(E54="","","*"&amp;TEXT(E54,"0.0x")),(E41+E42-E44)/E47)</f>
        <v>12.491307634164777</v>
      </c>
      <c r="F55" s="41"/>
      <c r="G55" s="41"/>
      <c r="H55" s="41"/>
      <c r="I55" s="41"/>
      <c r="J55" s="41" t="str">
        <f>IF(J42=0,IF(J54="","",CONCATENATE("* ",J54,"x")),(J41+J42-J44)/J47)</f>
        <v/>
      </c>
      <c r="K55" s="41" t="str">
        <f>IF(K42=0,IF(K54="","",CONCATENATE("* ",K54,"x")),(K41+K42-K44)/K47)</f>
        <v/>
      </c>
      <c r="L55" s="41" t="str">
        <f>IF(L42=0,IF(L54="","",CONCATENATE("* ",L54,"x")),(L41+L42-L44)/L47)</f>
        <v/>
      </c>
    </row>
    <row r="56" spans="1:12">
      <c r="I56" s="42"/>
    </row>
    <row r="57" spans="1:12" ht="80.25" customHeight="1">
      <c r="A57" s="43" t="s">
        <v>84</v>
      </c>
      <c r="B57" s="44" t="s">
        <v>659</v>
      </c>
      <c r="C57" s="44"/>
      <c r="D57" s="44"/>
      <c r="E57" s="44" t="s">
        <v>586</v>
      </c>
      <c r="F57" s="44"/>
      <c r="G57" s="44"/>
      <c r="H57" s="44"/>
      <c r="I57" s="44"/>
      <c r="J57" s="44"/>
      <c r="K57" s="44"/>
      <c r="L57" s="44"/>
    </row>
    <row r="58" spans="1:12">
      <c r="A58" s="45"/>
      <c r="B58" s="42"/>
      <c r="C58" s="42"/>
      <c r="D58" s="42"/>
      <c r="E58" s="42"/>
    </row>
    <row r="59" spans="1:12">
      <c r="A59" s="45"/>
    </row>
  </sheetData>
  <pageMargins left="0.7" right="0.7" top="0.75" bottom="0.75" header="0.3" footer="0.3"/>
  <pageSetup orientation="portrait"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728D-F4B0-43E5-AF81-7F56775579F1}">
  <dimension ref="A2:J59"/>
  <sheetViews>
    <sheetView showGridLines="0" zoomScaleNormal="100" workbookViewId="0">
      <pane xSplit="1" ySplit="10" topLeftCell="B11" activePane="bottomRight" state="frozen"/>
      <selection activeCell="B8" sqref="B8"/>
      <selection pane="topRight" activeCell="B8" sqref="B8"/>
      <selection pane="bottomLeft" activeCell="B8" sqref="B8"/>
      <selection pane="bottomRight" activeCell="B11" sqref="B11"/>
    </sheetView>
  </sheetViews>
  <sheetFormatPr defaultColWidth="9.109375" defaultRowHeight="13.8"/>
  <cols>
    <col min="1" max="1" width="22.6640625" style="14" customWidth="1"/>
    <col min="2" max="10" width="10.6640625" style="14" customWidth="1"/>
    <col min="11" max="16384" width="9.109375" style="14"/>
  </cols>
  <sheetData>
    <row r="2" spans="1:10">
      <c r="A2" s="13" t="s">
        <v>44</v>
      </c>
      <c r="B2" s="14" t="s">
        <v>572</v>
      </c>
    </row>
    <row r="3" spans="1:10" s="16" customFormat="1">
      <c r="A3" s="15" t="s">
        <v>45</v>
      </c>
      <c r="B3" s="16" t="s">
        <v>573</v>
      </c>
    </row>
    <row r="4" spans="1:10">
      <c r="A4" s="13" t="s">
        <v>2</v>
      </c>
      <c r="B4" s="14" t="s">
        <v>4</v>
      </c>
    </row>
    <row r="5" spans="1:10">
      <c r="A5" s="13" t="s">
        <v>46</v>
      </c>
    </row>
    <row r="6" spans="1:10">
      <c r="A6" s="13" t="s">
        <v>47</v>
      </c>
      <c r="B6" s="14">
        <v>2</v>
      </c>
    </row>
    <row r="7" spans="1:10">
      <c r="A7" s="13" t="s">
        <v>48</v>
      </c>
      <c r="B7" s="14" t="s">
        <v>575</v>
      </c>
    </row>
    <row r="8" spans="1:10">
      <c r="A8" s="13" t="s">
        <v>347</v>
      </c>
      <c r="B8" s="14" t="s">
        <v>574</v>
      </c>
    </row>
    <row r="9" spans="1:10">
      <c r="A9" s="17"/>
    </row>
    <row r="10" spans="1:10">
      <c r="A10" s="17" t="s">
        <v>49</v>
      </c>
      <c r="B10" s="18">
        <v>44286</v>
      </c>
      <c r="C10" s="18">
        <v>44196</v>
      </c>
      <c r="D10" s="18">
        <v>44104</v>
      </c>
      <c r="E10" s="18">
        <v>44012</v>
      </c>
      <c r="F10" s="18">
        <f>EOMONTH(E10,-3)</f>
        <v>43921</v>
      </c>
      <c r="G10" s="18">
        <f t="shared" ref="G10:J10" si="0">EOMONTH(F10,-3)</f>
        <v>43830</v>
      </c>
      <c r="H10" s="18">
        <f t="shared" si="0"/>
        <v>43738</v>
      </c>
      <c r="I10" s="18">
        <f t="shared" si="0"/>
        <v>43646</v>
      </c>
      <c r="J10" s="18">
        <f t="shared" si="0"/>
        <v>43555</v>
      </c>
    </row>
    <row r="12" spans="1:10">
      <c r="A12" s="19" t="s">
        <v>50</v>
      </c>
      <c r="B12" s="20">
        <v>1129.9829999999999</v>
      </c>
      <c r="C12" s="20"/>
      <c r="D12" s="20">
        <v>1252.5920000000001</v>
      </c>
      <c r="E12" s="20"/>
      <c r="F12" s="20">
        <v>1160.059</v>
      </c>
      <c r="G12" s="20"/>
      <c r="H12" s="20">
        <v>1175.32</v>
      </c>
      <c r="I12" s="20"/>
      <c r="J12" s="20"/>
    </row>
    <row r="13" spans="1:10" s="21" customFormat="1">
      <c r="A13" s="21" t="s">
        <v>51</v>
      </c>
      <c r="B13" s="21">
        <f>+B12/F12-1</f>
        <v>-2.592626754328875E-2</v>
      </c>
      <c r="D13" s="21">
        <f>+D12/H12-1</f>
        <v>6.574549909811811E-2</v>
      </c>
    </row>
    <row r="14" spans="1:10" s="24" customFormat="1">
      <c r="A14" s="22" t="s">
        <v>52</v>
      </c>
      <c r="B14" s="23" t="s">
        <v>3</v>
      </c>
      <c r="C14" s="23"/>
      <c r="D14" s="23" t="s">
        <v>3</v>
      </c>
      <c r="E14" s="23"/>
      <c r="F14" s="23"/>
      <c r="G14" s="23"/>
      <c r="H14" s="23"/>
      <c r="I14" s="22"/>
      <c r="J14" s="22"/>
    </row>
    <row r="16" spans="1:10" s="17" customFormat="1">
      <c r="A16" s="25" t="s">
        <v>53</v>
      </c>
      <c r="B16" s="26">
        <f>122.671+70.312-6.198</f>
        <v>186.785</v>
      </c>
      <c r="C16" s="26"/>
      <c r="D16" s="26"/>
      <c r="E16" s="26"/>
      <c r="F16" s="26">
        <f>114.533+71.886-3.645</f>
        <v>182.77399999999997</v>
      </c>
      <c r="G16" s="26"/>
      <c r="H16" s="26"/>
      <c r="I16" s="26"/>
      <c r="J16" s="26"/>
    </row>
    <row r="17" spans="1:10" s="21" customFormat="1">
      <c r="A17" s="21" t="s">
        <v>54</v>
      </c>
      <c r="B17" s="21">
        <f>B16/B12</f>
        <v>0.16529894697530848</v>
      </c>
      <c r="F17" s="21">
        <f>F16/F12</f>
        <v>0.1575557794905259</v>
      </c>
    </row>
    <row r="18" spans="1:10" s="24" customFormat="1"/>
    <row r="19" spans="1:10" s="24" customFormat="1">
      <c r="A19" s="19" t="s">
        <v>55</v>
      </c>
      <c r="B19" s="20">
        <v>0</v>
      </c>
      <c r="C19" s="20"/>
      <c r="D19" s="20"/>
      <c r="E19" s="20"/>
      <c r="F19" s="20">
        <v>0</v>
      </c>
      <c r="G19" s="20"/>
      <c r="H19" s="20"/>
      <c r="I19" s="20"/>
      <c r="J19" s="20"/>
    </row>
    <row r="20" spans="1:10" s="24" customFormat="1">
      <c r="A20" s="19" t="s">
        <v>56</v>
      </c>
      <c r="B20" s="20">
        <v>0</v>
      </c>
      <c r="C20" s="20"/>
      <c r="D20" s="20"/>
      <c r="E20" s="20"/>
      <c r="F20" s="20">
        <v>0</v>
      </c>
      <c r="G20" s="20"/>
      <c r="H20" s="20"/>
      <c r="I20" s="20"/>
      <c r="J20" s="20"/>
    </row>
    <row r="21" spans="1:10" s="24" customFormat="1">
      <c r="A21" s="19" t="s">
        <v>57</v>
      </c>
      <c r="B21" s="20">
        <v>0</v>
      </c>
      <c r="C21" s="20"/>
      <c r="D21" s="20"/>
      <c r="E21" s="20"/>
      <c r="F21" s="20">
        <v>0</v>
      </c>
      <c r="G21" s="20"/>
      <c r="H21" s="20"/>
      <c r="I21" s="20"/>
      <c r="J21" s="20"/>
    </row>
    <row r="22" spans="1:10" s="17" customFormat="1">
      <c r="A22" s="17" t="s">
        <v>58</v>
      </c>
      <c r="B22" s="27">
        <f>B16+B19+B20+B21</f>
        <v>186.785</v>
      </c>
      <c r="C22" s="27"/>
      <c r="D22" s="27"/>
      <c r="E22" s="27"/>
      <c r="F22" s="27">
        <f>F16+F19+F20+F21</f>
        <v>182.77399999999997</v>
      </c>
      <c r="G22" s="27"/>
      <c r="H22" s="27"/>
      <c r="I22" s="27"/>
      <c r="J22" s="27"/>
    </row>
    <row r="23" spans="1:10" s="17" customFormat="1">
      <c r="B23" s="27"/>
      <c r="C23" s="27"/>
      <c r="D23" s="27"/>
      <c r="E23" s="27"/>
      <c r="F23" s="27"/>
      <c r="G23" s="27"/>
      <c r="H23" s="27"/>
      <c r="I23" s="27"/>
      <c r="J23" s="27"/>
    </row>
    <row r="24" spans="1:10" s="17" customFormat="1">
      <c r="A24" s="17" t="s">
        <v>59</v>
      </c>
      <c r="B24" s="46">
        <v>900.18600000000004</v>
      </c>
      <c r="C24" s="46">
        <v>889</v>
      </c>
      <c r="D24" s="46">
        <v>842.8</v>
      </c>
      <c r="E24" s="46">
        <v>767</v>
      </c>
      <c r="F24" s="27"/>
      <c r="G24" s="27"/>
      <c r="H24" s="27"/>
      <c r="I24" s="27"/>
      <c r="J24" s="27"/>
    </row>
    <row r="25" spans="1:10" s="24" customFormat="1">
      <c r="A25" s="19" t="s">
        <v>60</v>
      </c>
      <c r="B25" s="28">
        <v>0</v>
      </c>
      <c r="C25" s="28">
        <v>0</v>
      </c>
      <c r="D25" s="28">
        <v>0</v>
      </c>
      <c r="E25" s="28">
        <v>0</v>
      </c>
      <c r="F25" s="28"/>
      <c r="G25" s="28"/>
      <c r="H25" s="28"/>
      <c r="I25" s="28"/>
      <c r="J25" s="28"/>
    </row>
    <row r="26" spans="1:10" s="24" customFormat="1">
      <c r="A26" s="19" t="s">
        <v>61</v>
      </c>
      <c r="B26" s="29">
        <v>0</v>
      </c>
      <c r="C26" s="29">
        <v>0</v>
      </c>
      <c r="D26" s="29">
        <v>0</v>
      </c>
      <c r="E26" s="29">
        <v>0</v>
      </c>
      <c r="F26" s="29"/>
      <c r="G26" s="29"/>
      <c r="H26" s="29"/>
      <c r="I26" s="29"/>
      <c r="J26" s="30"/>
    </row>
    <row r="27" spans="1:10" s="32" customFormat="1">
      <c r="A27" s="17" t="s">
        <v>62</v>
      </c>
      <c r="B27" s="27">
        <f>B24+B25+B26</f>
        <v>900.18600000000004</v>
      </c>
      <c r="C27" s="27">
        <f>C24+C25+C26</f>
        <v>889</v>
      </c>
      <c r="D27" s="27">
        <f>D24+D25+D26</f>
        <v>842.8</v>
      </c>
      <c r="E27" s="27">
        <f>E24+E25+E26</f>
        <v>767</v>
      </c>
      <c r="F27" s="27"/>
      <c r="G27" s="27"/>
      <c r="H27" s="27"/>
      <c r="I27" s="27"/>
      <c r="J27" s="31"/>
    </row>
    <row r="28" spans="1:10" s="24" customFormat="1"/>
    <row r="29" spans="1:10" s="17" customFormat="1">
      <c r="A29" s="17" t="s">
        <v>58</v>
      </c>
      <c r="B29" s="27">
        <f t="shared" ref="B29:F29" si="1">B22</f>
        <v>186.785</v>
      </c>
      <c r="C29" s="27"/>
      <c r="D29" s="27">
        <f t="shared" si="1"/>
        <v>0</v>
      </c>
      <c r="E29" s="27"/>
      <c r="F29" s="27">
        <f t="shared" si="1"/>
        <v>182.77399999999997</v>
      </c>
      <c r="G29" s="27"/>
      <c r="H29" s="27">
        <f t="shared" ref="H29" si="2">H22</f>
        <v>0</v>
      </c>
      <c r="I29" s="27"/>
      <c r="J29" s="27"/>
    </row>
    <row r="30" spans="1:10" s="33" customFormat="1">
      <c r="A30" s="20" t="s">
        <v>63</v>
      </c>
      <c r="B30" s="20"/>
      <c r="C30" s="20"/>
      <c r="D30" s="20"/>
      <c r="E30" s="20"/>
      <c r="F30" s="20"/>
      <c r="G30" s="20"/>
      <c r="H30" s="20"/>
      <c r="I30" s="20"/>
      <c r="J30" s="20"/>
    </row>
    <row r="31" spans="1:10" s="33" customFormat="1">
      <c r="A31" s="20" t="s">
        <v>64</v>
      </c>
      <c r="B31" s="20"/>
      <c r="C31" s="20"/>
      <c r="D31" s="20"/>
      <c r="E31" s="20"/>
      <c r="F31" s="20"/>
      <c r="G31" s="20"/>
      <c r="H31" s="20"/>
      <c r="I31" s="20"/>
      <c r="J31" s="20"/>
    </row>
    <row r="32" spans="1:10" s="33" customFormat="1">
      <c r="A32" s="20" t="s">
        <v>65</v>
      </c>
      <c r="B32" s="20">
        <f>7.694+24.316+2.464+8.143+1.002+13.851+63.074-0.02</f>
        <v>120.524</v>
      </c>
      <c r="C32" s="20"/>
      <c r="D32" s="20">
        <f>-169.546+1.85+2.701-40.587+37.626-3.394+39.685-28.255+0.345</f>
        <v>-159.57499999999999</v>
      </c>
      <c r="E32" s="20"/>
      <c r="F32" s="20">
        <f>-32.29-62.972+4.475+9.191-5.479+15.837+23.768+19.091</f>
        <v>-28.378999999999998</v>
      </c>
      <c r="G32" s="20"/>
      <c r="H32" s="20">
        <f>-141.303+41.93+0.802-27.801+5.112+11.111+36.23-11.493-0.133</f>
        <v>-85.544999999999973</v>
      </c>
      <c r="I32" s="20"/>
      <c r="J32" s="20"/>
    </row>
    <row r="33" spans="1:10" s="33" customFormat="1">
      <c r="A33" s="20" t="s">
        <v>66</v>
      </c>
      <c r="B33" s="20"/>
      <c r="C33" s="20"/>
      <c r="D33" s="20"/>
      <c r="E33" s="20"/>
      <c r="F33" s="20"/>
      <c r="G33" s="20"/>
      <c r="H33" s="20"/>
      <c r="I33" s="20"/>
      <c r="J33" s="20"/>
    </row>
    <row r="34" spans="1:10" s="33" customFormat="1">
      <c r="A34" s="20" t="s">
        <v>57</v>
      </c>
      <c r="B34" s="29"/>
      <c r="C34" s="29"/>
      <c r="D34" s="29"/>
      <c r="E34" s="29"/>
      <c r="F34" s="29"/>
      <c r="G34" s="29"/>
      <c r="H34" s="29"/>
      <c r="I34" s="29"/>
      <c r="J34" s="29"/>
    </row>
    <row r="35" spans="1:10" s="27" customFormat="1">
      <c r="A35" s="27" t="s">
        <v>67</v>
      </c>
      <c r="B35" s="27">
        <v>292.65899999999999</v>
      </c>
      <c r="D35" s="27">
        <v>92.856999999999999</v>
      </c>
      <c r="F35" s="27">
        <v>151.58799999999999</v>
      </c>
      <c r="H35" s="27">
        <v>83.822999999999993</v>
      </c>
    </row>
    <row r="36" spans="1:10" s="33" customFormat="1">
      <c r="A36" s="20" t="s">
        <v>68</v>
      </c>
      <c r="B36" s="29">
        <v>-90.849000000000004</v>
      </c>
      <c r="C36" s="29"/>
      <c r="D36" s="29">
        <v>-40.292999999999999</v>
      </c>
      <c r="E36" s="29"/>
      <c r="F36" s="29">
        <v>-91.513999999999996</v>
      </c>
      <c r="G36" s="29"/>
      <c r="H36" s="29">
        <v>-67.521000000000001</v>
      </c>
      <c r="I36" s="29"/>
      <c r="J36" s="29"/>
    </row>
    <row r="37" spans="1:10" s="27" customFormat="1">
      <c r="A37" s="27" t="s">
        <v>69</v>
      </c>
      <c r="B37" s="27">
        <f>+B35+B36</f>
        <v>201.81</v>
      </c>
      <c r="D37" s="27">
        <f>+D35+D36</f>
        <v>52.564</v>
      </c>
      <c r="F37" s="27">
        <f>+F35+F36</f>
        <v>60.073999999999998</v>
      </c>
      <c r="H37" s="27">
        <f t="shared" ref="H37" si="3">+H35+H36</f>
        <v>16.301999999999992</v>
      </c>
    </row>
    <row r="39" spans="1:10" s="35" customFormat="1">
      <c r="A39" s="34" t="s">
        <v>70</v>
      </c>
      <c r="B39" s="20">
        <v>0</v>
      </c>
      <c r="C39" s="20">
        <v>0</v>
      </c>
      <c r="D39" s="20">
        <v>0</v>
      </c>
      <c r="E39" s="20">
        <v>0</v>
      </c>
      <c r="F39" s="20"/>
      <c r="G39" s="20"/>
      <c r="H39" s="20"/>
      <c r="I39" s="20"/>
      <c r="J39" s="20"/>
    </row>
    <row r="40" spans="1:10" s="35" customFormat="1">
      <c r="A40" s="34" t="s">
        <v>71</v>
      </c>
      <c r="B40" s="20">
        <f>1749.296+B44</f>
        <v>1995.085</v>
      </c>
      <c r="C40" s="20">
        <v>1995</v>
      </c>
      <c r="D40" s="20">
        <v>1995</v>
      </c>
      <c r="E40" s="20">
        <v>2000</v>
      </c>
      <c r="F40" s="20"/>
      <c r="G40" s="20"/>
      <c r="H40" s="20"/>
      <c r="I40" s="20"/>
      <c r="J40" s="20"/>
    </row>
    <row r="41" spans="1:10" s="35" customFormat="1">
      <c r="A41" s="34" t="s">
        <v>72</v>
      </c>
      <c r="B41" s="20">
        <f>B39+B40+7.8</f>
        <v>2002.885</v>
      </c>
      <c r="C41" s="20">
        <f>C39+C40+7.8</f>
        <v>2002.8</v>
      </c>
      <c r="D41" s="20">
        <f>D39+D40+7.8</f>
        <v>2002.8</v>
      </c>
      <c r="E41" s="20">
        <f>E39+E40+9.5</f>
        <v>2009.5</v>
      </c>
      <c r="F41" s="20"/>
      <c r="G41" s="20"/>
      <c r="H41" s="20"/>
      <c r="I41" s="20"/>
      <c r="J41" s="20"/>
    </row>
    <row r="42" spans="1:10" s="35" customFormat="1">
      <c r="A42" s="34" t="s">
        <v>73</v>
      </c>
      <c r="B42" s="36">
        <v>5779.5</v>
      </c>
      <c r="C42" s="36">
        <v>5779.5</v>
      </c>
      <c r="D42" s="36">
        <v>5779.5</v>
      </c>
      <c r="E42" s="36">
        <v>5779.5</v>
      </c>
      <c r="F42" s="36"/>
      <c r="G42" s="36"/>
      <c r="H42" s="36"/>
      <c r="I42" s="36"/>
      <c r="J42" s="36"/>
    </row>
    <row r="43" spans="1:10">
      <c r="B43" s="35"/>
      <c r="C43" s="35"/>
      <c r="D43" s="35"/>
      <c r="E43" s="35"/>
      <c r="F43" s="35"/>
      <c r="G43" s="35"/>
    </row>
    <row r="44" spans="1:10">
      <c r="A44" s="19" t="s">
        <v>74</v>
      </c>
      <c r="B44" s="28">
        <v>245.78899999999999</v>
      </c>
      <c r="C44" s="28"/>
      <c r="D44" s="28">
        <v>235.881</v>
      </c>
      <c r="E44" s="28">
        <v>119</v>
      </c>
      <c r="F44" s="28"/>
      <c r="G44" s="28"/>
      <c r="H44" s="28"/>
      <c r="I44" s="28"/>
      <c r="J44" s="57"/>
    </row>
    <row r="46" spans="1:10">
      <c r="A46" s="14" t="s">
        <v>75</v>
      </c>
      <c r="B46" s="51">
        <f>C46+B12-F12</f>
        <v>4709.924</v>
      </c>
      <c r="C46" s="51">
        <v>4740</v>
      </c>
      <c r="D46" s="51">
        <v>4576.6000000000004</v>
      </c>
      <c r="E46" s="51">
        <v>4523.8999999999996</v>
      </c>
      <c r="F46" s="33"/>
      <c r="G46" s="33"/>
      <c r="H46" s="33"/>
      <c r="I46" s="33"/>
    </row>
    <row r="47" spans="1:10">
      <c r="A47" s="14" t="s">
        <v>76</v>
      </c>
      <c r="B47" s="51">
        <v>900.18600000000004</v>
      </c>
      <c r="C47" s="51">
        <v>889</v>
      </c>
      <c r="D47" s="51">
        <v>842.8</v>
      </c>
      <c r="E47" s="51">
        <v>767</v>
      </c>
      <c r="F47" s="33"/>
      <c r="G47" s="33"/>
      <c r="H47" s="33"/>
      <c r="I47" s="33"/>
    </row>
    <row r="48" spans="1:10">
      <c r="A48" s="14" t="s">
        <v>77</v>
      </c>
      <c r="B48" s="51"/>
      <c r="C48" s="51"/>
      <c r="D48" s="51">
        <v>569.20000000000005</v>
      </c>
      <c r="E48" s="51">
        <v>250.25</v>
      </c>
      <c r="F48" s="33"/>
      <c r="G48" s="33"/>
      <c r="H48" s="33"/>
      <c r="I48" s="33"/>
    </row>
    <row r="50" spans="1:10" s="37" customFormat="1">
      <c r="A50" s="37" t="s">
        <v>78</v>
      </c>
      <c r="B50" s="37">
        <f>+SUM(B39:B40)/B47</f>
        <v>2.2163030751422483</v>
      </c>
      <c r="C50" s="37">
        <f>+SUM(C39:C40)/C47</f>
        <v>2.2440944881889764</v>
      </c>
      <c r="D50" s="37">
        <f>+SUM(D39:D40)/D47</f>
        <v>2.367109634551495</v>
      </c>
      <c r="E50" s="37">
        <f>+SUM(E39:E40)/E47</f>
        <v>2.6075619295958279</v>
      </c>
    </row>
    <row r="51" spans="1:10" s="37" customFormat="1">
      <c r="A51" s="37" t="s">
        <v>79</v>
      </c>
      <c r="B51" s="37">
        <f>+B41/B47</f>
        <v>2.2249679510678901</v>
      </c>
      <c r="C51" s="37">
        <f>+C41/C47</f>
        <v>2.2528683914510688</v>
      </c>
      <c r="D51" s="37">
        <f>+D41/D47</f>
        <v>2.3763644992880875</v>
      </c>
      <c r="E51" s="37">
        <f>+E41/E47</f>
        <v>2.6199478487614081</v>
      </c>
    </row>
    <row r="52" spans="1:10" s="37" customFormat="1">
      <c r="A52" s="37" t="s">
        <v>80</v>
      </c>
      <c r="B52" s="37">
        <f>+(B41-B44)/B47</f>
        <v>1.9519254909540917</v>
      </c>
      <c r="C52" s="37">
        <f>+(C41-C44)/C47</f>
        <v>2.2528683914510688</v>
      </c>
      <c r="D52" s="37">
        <f>+(D41-D44)/D47</f>
        <v>2.0964867109634553</v>
      </c>
      <c r="E52" s="37">
        <f>+(E41-E44)/E47</f>
        <v>2.4647979139504561</v>
      </c>
    </row>
    <row r="53" spans="1:10" s="38" customFormat="1">
      <c r="A53" s="38" t="s">
        <v>81</v>
      </c>
      <c r="B53" s="38">
        <f>+B48/B41</f>
        <v>0</v>
      </c>
      <c r="C53" s="38">
        <f>+C48/C41</f>
        <v>0</v>
      </c>
      <c r="D53" s="38">
        <f>+D48/D41</f>
        <v>0.28420211703614939</v>
      </c>
      <c r="E53" s="38">
        <f>+E48/E41</f>
        <v>0.12453346603632745</v>
      </c>
    </row>
    <row r="54" spans="1:10" s="38" customFormat="1">
      <c r="A54" s="39" t="s">
        <v>82</v>
      </c>
      <c r="B54" s="40"/>
      <c r="C54" s="40"/>
      <c r="D54" s="40"/>
      <c r="E54" s="40"/>
      <c r="F54" s="40"/>
      <c r="G54" s="40"/>
      <c r="H54" s="40"/>
      <c r="I54" s="40"/>
      <c r="J54" s="39"/>
    </row>
    <row r="55" spans="1:10" s="38" customFormat="1">
      <c r="A55" s="38" t="s">
        <v>83</v>
      </c>
      <c r="B55" s="41">
        <f>IF(B42=0,IF(B54="","","*"&amp;TEXT(B54,"0.0x")),(B41+B42-B44)/B47)</f>
        <v>8.3722652873961607</v>
      </c>
      <c r="C55" s="41">
        <f>IF(C42=0,IF(C54="","","*"&amp;TEXT(C54,"0.0x")),(C41+C42-C44)/C47)</f>
        <v>8.753993250843644</v>
      </c>
      <c r="D55" s="41">
        <f>IF(D42=0,IF(D54="","","*"&amp;TEXT(D54,"0.0x")),(D41+D42-D44)/D47)</f>
        <v>8.9539855244423361</v>
      </c>
      <c r="E55" s="41">
        <f>IF(E42=0,IF(E54="","","*"&amp;TEXT(E54,"0.0x")),(E41+E42-E44)/E47)</f>
        <v>10</v>
      </c>
      <c r="F55" s="41"/>
      <c r="G55" s="41"/>
      <c r="H55" s="41"/>
      <c r="I55" s="41"/>
      <c r="J55" s="41" t="str">
        <f>IF(J42=0,IF(J54="","",CONCATENATE("* ",J54,"x")),(J41+J42-J44)/J47)</f>
        <v/>
      </c>
    </row>
    <row r="56" spans="1:10">
      <c r="I56" s="42"/>
    </row>
    <row r="57" spans="1:10" ht="80.25" customHeight="1">
      <c r="A57" s="43" t="s">
        <v>84</v>
      </c>
      <c r="B57" s="44" t="s">
        <v>289</v>
      </c>
      <c r="C57" s="44" t="s">
        <v>619</v>
      </c>
      <c r="D57" s="44" t="s">
        <v>619</v>
      </c>
      <c r="E57" s="44" t="s">
        <v>90</v>
      </c>
      <c r="F57" s="44"/>
      <c r="G57" s="44"/>
      <c r="H57" s="44"/>
      <c r="I57" s="44"/>
      <c r="J57" s="44"/>
    </row>
    <row r="58" spans="1:10">
      <c r="A58" s="45"/>
      <c r="B58" s="42"/>
      <c r="C58" s="42"/>
      <c r="D58" s="42"/>
      <c r="E58" s="42"/>
    </row>
    <row r="59" spans="1:10">
      <c r="A59" s="45"/>
    </row>
  </sheetData>
  <pageMargins left="0.7" right="0.7" top="0.75" bottom="0.75" header="0.3" footer="0.3"/>
  <pageSetup orientation="portrait"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820B2-6C1D-404A-A461-37F36DB76E41}">
  <dimension ref="A2:K59"/>
  <sheetViews>
    <sheetView showGridLines="0" zoomScaleNormal="100" workbookViewId="0">
      <pane xSplit="1" ySplit="10" topLeftCell="B11" activePane="bottomRight" state="frozen"/>
      <selection activeCell="B8" sqref="B8"/>
      <selection pane="topRight" activeCell="B8" sqref="B8"/>
      <selection pane="bottomLeft" activeCell="B8" sqref="B8"/>
      <selection pane="bottomRight" activeCell="B11" sqref="B11"/>
    </sheetView>
  </sheetViews>
  <sheetFormatPr defaultColWidth="9.109375" defaultRowHeight="13.8"/>
  <cols>
    <col min="1" max="1" width="22.6640625" style="14" customWidth="1"/>
    <col min="2" max="11" width="10.6640625" style="14" customWidth="1"/>
    <col min="12" max="16384" width="9.109375" style="14"/>
  </cols>
  <sheetData>
    <row r="2" spans="1:11">
      <c r="A2" s="13" t="s">
        <v>44</v>
      </c>
      <c r="B2" s="14" t="s">
        <v>581</v>
      </c>
    </row>
    <row r="3" spans="1:11" s="16" customFormat="1">
      <c r="A3" s="15" t="s">
        <v>45</v>
      </c>
      <c r="B3" s="16" t="s">
        <v>582</v>
      </c>
    </row>
    <row r="4" spans="1:11">
      <c r="A4" s="13" t="s">
        <v>2</v>
      </c>
      <c r="B4" s="14" t="s">
        <v>4</v>
      </c>
    </row>
    <row r="5" spans="1:11">
      <c r="A5" s="13" t="s">
        <v>46</v>
      </c>
    </row>
    <row r="6" spans="1:11">
      <c r="A6" s="13" t="s">
        <v>47</v>
      </c>
      <c r="B6" s="14">
        <v>3</v>
      </c>
    </row>
    <row r="7" spans="1:11">
      <c r="A7" s="13" t="s">
        <v>48</v>
      </c>
      <c r="B7" s="14" t="s">
        <v>584</v>
      </c>
    </row>
    <row r="8" spans="1:11">
      <c r="A8" s="13" t="s">
        <v>347</v>
      </c>
      <c r="B8" s="14" t="s">
        <v>583</v>
      </c>
    </row>
    <row r="9" spans="1:11">
      <c r="A9" s="17"/>
    </row>
    <row r="10" spans="1:11">
      <c r="A10" s="17" t="s">
        <v>49</v>
      </c>
      <c r="B10" s="18">
        <v>44318</v>
      </c>
      <c r="C10" s="18">
        <v>44228</v>
      </c>
      <c r="D10" s="18">
        <v>44136</v>
      </c>
      <c r="E10" s="18">
        <v>44045</v>
      </c>
      <c r="F10" s="18">
        <v>43952</v>
      </c>
      <c r="G10" s="18">
        <v>43862</v>
      </c>
      <c r="H10" s="18">
        <v>43770</v>
      </c>
      <c r="I10" s="18">
        <v>43679</v>
      </c>
      <c r="J10" s="18">
        <v>43586</v>
      </c>
      <c r="K10" s="18">
        <v>43497</v>
      </c>
    </row>
    <row r="12" spans="1:11">
      <c r="A12" s="19" t="s">
        <v>50</v>
      </c>
      <c r="B12" s="20">
        <v>1119</v>
      </c>
      <c r="C12" s="20">
        <v>955</v>
      </c>
      <c r="D12" s="20">
        <f>688.022+179.43</f>
        <v>867.452</v>
      </c>
      <c r="E12" s="20"/>
      <c r="F12" s="20">
        <v>972</v>
      </c>
      <c r="G12" s="20">
        <v>921</v>
      </c>
      <c r="H12" s="20">
        <v>818</v>
      </c>
      <c r="I12" s="20"/>
      <c r="J12" s="20"/>
      <c r="K12" s="20"/>
    </row>
    <row r="13" spans="1:11" s="21" customFormat="1">
      <c r="A13" s="21" t="s">
        <v>51</v>
      </c>
      <c r="B13" s="21">
        <f>B12/F12-1</f>
        <v>0.15123456790123457</v>
      </c>
      <c r="C13" s="21">
        <f>C12/G12-1</f>
        <v>3.6916395222584164E-2</v>
      </c>
      <c r="D13" s="21">
        <f>D12/H12-1</f>
        <v>6.0454767726161318E-2</v>
      </c>
    </row>
    <row r="14" spans="1:11" s="24" customFormat="1">
      <c r="A14" s="22" t="s">
        <v>52</v>
      </c>
      <c r="B14" s="23" t="s">
        <v>3</v>
      </c>
      <c r="C14" s="23" t="s">
        <v>3</v>
      </c>
      <c r="D14" s="23" t="s">
        <v>3</v>
      </c>
      <c r="E14" s="23"/>
      <c r="F14" s="23"/>
      <c r="G14" s="23"/>
      <c r="H14" s="23"/>
      <c r="I14" s="22"/>
      <c r="J14" s="22"/>
      <c r="K14" s="22"/>
    </row>
    <row r="16" spans="1:11" s="17" customFormat="1">
      <c r="A16" s="25" t="s">
        <v>53</v>
      </c>
      <c r="B16" s="26">
        <v>122</v>
      </c>
      <c r="C16" s="26">
        <v>94</v>
      </c>
      <c r="D16" s="26">
        <f>21.8+80.3</f>
        <v>102.1</v>
      </c>
      <c r="E16" s="26"/>
      <c r="F16" s="26">
        <v>79</v>
      </c>
      <c r="G16" s="26">
        <v>93</v>
      </c>
      <c r="H16" s="26">
        <v>94.6</v>
      </c>
      <c r="I16" s="26"/>
      <c r="J16" s="26"/>
      <c r="K16" s="26"/>
    </row>
    <row r="17" spans="1:11" s="21" customFormat="1">
      <c r="A17" s="21" t="s">
        <v>54</v>
      </c>
      <c r="B17" s="21">
        <f t="shared" ref="B17" si="0">+B16/B12</f>
        <v>0.10902591599642537</v>
      </c>
      <c r="C17" s="21">
        <f t="shared" ref="C17:D17" si="1">+C16/C12</f>
        <v>9.8429319371727747E-2</v>
      </c>
      <c r="D17" s="21">
        <f t="shared" si="1"/>
        <v>0.11770103706026384</v>
      </c>
      <c r="F17" s="21">
        <f t="shared" ref="F17" si="2">+F16/F12</f>
        <v>8.1275720164609058E-2</v>
      </c>
      <c r="G17" s="21">
        <f t="shared" ref="G17:H17" si="3">+G16/G12</f>
        <v>0.10097719869706841</v>
      </c>
      <c r="H17" s="21">
        <f t="shared" si="3"/>
        <v>0.1156479217603912</v>
      </c>
    </row>
    <row r="18" spans="1:11" s="24" customFormat="1"/>
    <row r="19" spans="1:11" s="24" customFormat="1">
      <c r="A19" s="19" t="s">
        <v>55</v>
      </c>
      <c r="B19" s="20">
        <v>0</v>
      </c>
      <c r="C19" s="20">
        <v>0</v>
      </c>
      <c r="D19" s="20">
        <v>0</v>
      </c>
      <c r="E19" s="20"/>
      <c r="F19" s="20">
        <v>0</v>
      </c>
      <c r="G19" s="20">
        <v>0</v>
      </c>
      <c r="H19" s="20">
        <v>0</v>
      </c>
      <c r="I19" s="20"/>
      <c r="J19" s="20"/>
      <c r="K19" s="20"/>
    </row>
    <row r="20" spans="1:11" s="24" customFormat="1">
      <c r="A20" s="19" t="s">
        <v>56</v>
      </c>
      <c r="B20" s="20">
        <v>0</v>
      </c>
      <c r="C20" s="20">
        <v>0</v>
      </c>
      <c r="D20" s="20">
        <v>0</v>
      </c>
      <c r="E20" s="20"/>
      <c r="F20" s="20">
        <v>0</v>
      </c>
      <c r="G20" s="20">
        <v>0</v>
      </c>
      <c r="H20" s="20">
        <v>0</v>
      </c>
      <c r="I20" s="20"/>
      <c r="J20" s="20"/>
      <c r="K20" s="20"/>
    </row>
    <row r="21" spans="1:11" s="24" customFormat="1">
      <c r="A21" s="19" t="s">
        <v>57</v>
      </c>
      <c r="B21" s="20">
        <v>0</v>
      </c>
      <c r="C21" s="20">
        <v>0</v>
      </c>
      <c r="D21" s="20">
        <v>0</v>
      </c>
      <c r="E21" s="20"/>
      <c r="F21" s="20">
        <v>0</v>
      </c>
      <c r="G21" s="20">
        <v>0</v>
      </c>
      <c r="H21" s="20">
        <v>0</v>
      </c>
      <c r="I21" s="20"/>
      <c r="J21" s="20"/>
      <c r="K21" s="20"/>
    </row>
    <row r="22" spans="1:11" s="17" customFormat="1">
      <c r="A22" s="17" t="s">
        <v>58</v>
      </c>
      <c r="B22" s="27">
        <f t="shared" ref="B22" si="4">SUM(B16,B19:B21)</f>
        <v>122</v>
      </c>
      <c r="C22" s="27">
        <f t="shared" ref="C22:D22" si="5">SUM(C16,C19:C21)</f>
        <v>94</v>
      </c>
      <c r="D22" s="27">
        <f t="shared" si="5"/>
        <v>102.1</v>
      </c>
      <c r="E22" s="27"/>
      <c r="F22" s="27">
        <f t="shared" ref="F22" si="6">SUM(F16,F19:F21)</f>
        <v>79</v>
      </c>
      <c r="G22" s="27">
        <f t="shared" ref="G22:H22" si="7">SUM(G16,G19:G21)</f>
        <v>93</v>
      </c>
      <c r="H22" s="27">
        <f t="shared" si="7"/>
        <v>94.6</v>
      </c>
      <c r="I22" s="27"/>
      <c r="J22" s="27"/>
      <c r="K22" s="27"/>
    </row>
    <row r="23" spans="1:11" s="17" customFormat="1">
      <c r="B23" s="27"/>
      <c r="C23" s="27"/>
      <c r="D23" s="27"/>
      <c r="E23" s="27"/>
      <c r="F23" s="27"/>
      <c r="G23" s="27"/>
      <c r="H23" s="27"/>
      <c r="I23" s="27"/>
      <c r="J23" s="27"/>
      <c r="K23" s="27"/>
    </row>
    <row r="24" spans="1:11" s="17" customFormat="1">
      <c r="A24" s="17" t="s">
        <v>59</v>
      </c>
      <c r="B24" s="46">
        <f>AVERAGE(530,540)</f>
        <v>535</v>
      </c>
      <c r="C24" s="46">
        <v>509</v>
      </c>
      <c r="D24" s="27">
        <f>E24+D22-H22</f>
        <v>515.5</v>
      </c>
      <c r="E24" s="46">
        <v>508</v>
      </c>
      <c r="F24" s="27"/>
      <c r="G24" s="27"/>
      <c r="H24" s="27"/>
      <c r="I24" s="27"/>
      <c r="J24" s="27"/>
      <c r="K24" s="27"/>
    </row>
    <row r="25" spans="1:11" s="24" customFormat="1">
      <c r="A25" s="19" t="s">
        <v>60</v>
      </c>
      <c r="B25" s="28">
        <v>0</v>
      </c>
      <c r="C25" s="28">
        <f>(C41-C44)/5.5-C24</f>
        <v>4.0909090909091219</v>
      </c>
      <c r="D25" s="28">
        <v>0</v>
      </c>
      <c r="E25" s="28">
        <v>0</v>
      </c>
      <c r="F25" s="28"/>
      <c r="G25" s="28"/>
      <c r="H25" s="28"/>
      <c r="I25" s="28"/>
      <c r="J25" s="28"/>
      <c r="K25" s="28"/>
    </row>
    <row r="26" spans="1:11" s="24" customFormat="1">
      <c r="A26" s="19" t="s">
        <v>61</v>
      </c>
      <c r="B26" s="29">
        <v>0</v>
      </c>
      <c r="C26" s="29">
        <v>0</v>
      </c>
      <c r="D26" s="29">
        <v>0</v>
      </c>
      <c r="E26" s="29">
        <v>0</v>
      </c>
      <c r="F26" s="29"/>
      <c r="G26" s="29"/>
      <c r="H26" s="29"/>
      <c r="I26" s="29"/>
      <c r="J26" s="30"/>
      <c r="K26" s="30"/>
    </row>
    <row r="27" spans="1:11" s="32" customFormat="1">
      <c r="A27" s="17" t="s">
        <v>62</v>
      </c>
      <c r="B27" s="27">
        <f>B24+B25+B26</f>
        <v>535</v>
      </c>
      <c r="C27" s="27">
        <f>C24+C25+C26</f>
        <v>513.09090909090912</v>
      </c>
      <c r="D27" s="27">
        <f>D24+D25+D26</f>
        <v>515.5</v>
      </c>
      <c r="E27" s="27">
        <f>E24+E25+E26</f>
        <v>508</v>
      </c>
      <c r="F27" s="27"/>
      <c r="G27" s="27"/>
      <c r="H27" s="27"/>
      <c r="I27" s="27"/>
      <c r="J27" s="31"/>
      <c r="K27" s="31"/>
    </row>
    <row r="28" spans="1:11" s="24" customFormat="1"/>
    <row r="29" spans="1:11" s="17" customFormat="1">
      <c r="A29" s="17" t="s">
        <v>58</v>
      </c>
      <c r="B29" s="27">
        <f>B22</f>
        <v>122</v>
      </c>
      <c r="C29" s="27">
        <f>C22</f>
        <v>94</v>
      </c>
      <c r="D29" s="27">
        <f>D22</f>
        <v>102.1</v>
      </c>
      <c r="E29" s="27"/>
      <c r="F29" s="27"/>
      <c r="G29" s="27">
        <f>G22</f>
        <v>93</v>
      </c>
      <c r="H29" s="27">
        <f>H22</f>
        <v>94.6</v>
      </c>
      <c r="I29" s="27"/>
      <c r="J29" s="27"/>
      <c r="K29" s="27"/>
    </row>
    <row r="30" spans="1:11" s="33" customFormat="1">
      <c r="A30" s="20" t="s">
        <v>63</v>
      </c>
      <c r="B30" s="20"/>
      <c r="C30" s="20"/>
      <c r="D30" s="20"/>
      <c r="E30" s="20"/>
      <c r="F30" s="20"/>
      <c r="G30" s="20"/>
      <c r="H30" s="20"/>
      <c r="I30" s="20"/>
      <c r="J30" s="20"/>
      <c r="K30" s="20"/>
    </row>
    <row r="31" spans="1:11" s="33" customFormat="1">
      <c r="A31" s="20" t="s">
        <v>64</v>
      </c>
      <c r="B31" s="20"/>
      <c r="C31" s="20"/>
      <c r="D31" s="20"/>
      <c r="E31" s="20"/>
      <c r="F31" s="20"/>
      <c r="G31" s="20"/>
      <c r="H31" s="20"/>
      <c r="I31" s="20"/>
      <c r="J31" s="20"/>
      <c r="K31" s="20"/>
    </row>
    <row r="32" spans="1:11" s="33" customFormat="1">
      <c r="A32" s="20" t="s">
        <v>65</v>
      </c>
      <c r="B32" s="20"/>
      <c r="C32" s="20"/>
      <c r="D32" s="20"/>
      <c r="E32" s="20"/>
      <c r="F32" s="20"/>
      <c r="G32" s="20"/>
      <c r="H32" s="20"/>
      <c r="I32" s="20"/>
      <c r="J32" s="20"/>
      <c r="K32" s="20"/>
    </row>
    <row r="33" spans="1:11" s="33" customFormat="1">
      <c r="A33" s="20" t="s">
        <v>66</v>
      </c>
      <c r="B33" s="20"/>
      <c r="C33" s="20"/>
      <c r="D33" s="20"/>
      <c r="E33" s="20"/>
      <c r="F33" s="20"/>
      <c r="G33" s="20"/>
      <c r="H33" s="20"/>
      <c r="I33" s="20"/>
      <c r="J33" s="20"/>
      <c r="K33" s="20"/>
    </row>
    <row r="34" spans="1:11" s="33" customFormat="1">
      <c r="A34" s="20" t="s">
        <v>57</v>
      </c>
      <c r="B34" s="29"/>
      <c r="C34" s="29"/>
      <c r="D34" s="29"/>
      <c r="E34" s="29"/>
      <c r="F34" s="29"/>
      <c r="G34" s="29"/>
      <c r="H34" s="29"/>
      <c r="I34" s="29"/>
      <c r="J34" s="29"/>
      <c r="K34" s="29"/>
    </row>
    <row r="35" spans="1:11" s="27" customFormat="1">
      <c r="A35" s="27" t="s">
        <v>67</v>
      </c>
      <c r="C35" s="27">
        <v>72</v>
      </c>
      <c r="D35" s="27">
        <f>11.325+60.324</f>
        <v>71.649000000000001</v>
      </c>
      <c r="G35" s="27">
        <v>69</v>
      </c>
      <c r="H35" s="27">
        <v>94.3</v>
      </c>
    </row>
    <row r="36" spans="1:11" s="33" customFormat="1">
      <c r="A36" s="20" t="s">
        <v>68</v>
      </c>
      <c r="B36" s="29"/>
      <c r="C36" s="29">
        <v>-18</v>
      </c>
      <c r="D36" s="29">
        <v>-7.5</v>
      </c>
      <c r="E36" s="29"/>
      <c r="F36" s="29"/>
      <c r="G36" s="29">
        <v>-7</v>
      </c>
      <c r="H36" s="29">
        <v>-15.9</v>
      </c>
      <c r="I36" s="29"/>
      <c r="J36" s="29"/>
      <c r="K36" s="29"/>
    </row>
    <row r="37" spans="1:11" s="27" customFormat="1">
      <c r="A37" s="27" t="s">
        <v>69</v>
      </c>
      <c r="B37" s="158" t="s">
        <v>112</v>
      </c>
      <c r="C37" s="27">
        <f>C35+C36</f>
        <v>54</v>
      </c>
      <c r="D37" s="27">
        <f>D35+D36</f>
        <v>64.149000000000001</v>
      </c>
      <c r="F37" s="158" t="s">
        <v>112</v>
      </c>
      <c r="G37" s="27">
        <f>G35+G36</f>
        <v>62</v>
      </c>
      <c r="H37" s="27">
        <f>H35+H36</f>
        <v>78.399999999999991</v>
      </c>
    </row>
    <row r="39" spans="1:11" s="35" customFormat="1">
      <c r="A39" s="34" t="s">
        <v>70</v>
      </c>
      <c r="B39" s="20">
        <f>C39</f>
        <v>0</v>
      </c>
      <c r="C39" s="20">
        <v>0</v>
      </c>
      <c r="D39" s="20">
        <v>0</v>
      </c>
      <c r="E39" s="20">
        <v>0</v>
      </c>
      <c r="F39" s="20"/>
      <c r="G39" s="20"/>
      <c r="H39" s="20"/>
      <c r="I39" s="20"/>
      <c r="J39" s="20"/>
      <c r="K39" s="20"/>
    </row>
    <row r="40" spans="1:11" s="35" customFormat="1">
      <c r="A40" s="34" t="s">
        <v>71</v>
      </c>
      <c r="B40" s="20">
        <f>C40</f>
        <v>2336</v>
      </c>
      <c r="C40" s="20">
        <f>2329+7</f>
        <v>2336</v>
      </c>
      <c r="D40" s="20">
        <f>2335+8.2</f>
        <v>2343.1999999999998</v>
      </c>
      <c r="E40" s="20">
        <f>2335+8.2</f>
        <v>2343.1999999999998</v>
      </c>
      <c r="F40" s="20"/>
      <c r="G40" s="20"/>
      <c r="H40" s="20"/>
      <c r="I40" s="20"/>
      <c r="J40" s="20"/>
      <c r="K40" s="20"/>
    </row>
    <row r="41" spans="1:11" s="35" customFormat="1">
      <c r="A41" s="34" t="s">
        <v>72</v>
      </c>
      <c r="B41" s="20">
        <f>C41</f>
        <v>2976</v>
      </c>
      <c r="C41" s="20">
        <f>+C39+C40+640</f>
        <v>2976</v>
      </c>
      <c r="D41" s="20">
        <f>+D39+D40+640</f>
        <v>2983.2</v>
      </c>
      <c r="E41" s="20">
        <f>+E39+E40+640</f>
        <v>2983.2</v>
      </c>
      <c r="F41" s="20"/>
      <c r="G41" s="20"/>
      <c r="H41" s="20"/>
      <c r="I41" s="20"/>
      <c r="J41" s="20"/>
      <c r="K41" s="20"/>
    </row>
    <row r="42" spans="1:11" s="35" customFormat="1">
      <c r="A42" s="34" t="s">
        <v>73</v>
      </c>
      <c r="B42" s="36">
        <f>C42</f>
        <v>991</v>
      </c>
      <c r="C42" s="36">
        <v>991</v>
      </c>
      <c r="D42" s="36">
        <v>991</v>
      </c>
      <c r="E42" s="36">
        <v>991</v>
      </c>
      <c r="F42" s="36"/>
      <c r="G42" s="36"/>
      <c r="H42" s="36"/>
      <c r="I42" s="36"/>
      <c r="J42" s="36"/>
      <c r="K42" s="36"/>
    </row>
    <row r="43" spans="1:11">
      <c r="B43" s="35"/>
      <c r="C43" s="35"/>
      <c r="D43" s="35"/>
      <c r="E43" s="35"/>
      <c r="F43" s="35"/>
      <c r="G43" s="35"/>
    </row>
    <row r="44" spans="1:11">
      <c r="A44" s="19" t="s">
        <v>74</v>
      </c>
      <c r="B44" s="28">
        <f>C44</f>
        <v>154</v>
      </c>
      <c r="C44" s="28">
        <v>154</v>
      </c>
      <c r="D44" s="28">
        <v>104.6</v>
      </c>
      <c r="E44" s="28">
        <v>11</v>
      </c>
      <c r="F44" s="28"/>
      <c r="G44" s="28"/>
      <c r="H44" s="28"/>
      <c r="I44" s="28"/>
      <c r="J44" s="57"/>
      <c r="K44" s="57"/>
    </row>
    <row r="46" spans="1:11">
      <c r="A46" s="14" t="s">
        <v>75</v>
      </c>
      <c r="B46" s="58">
        <f>C46+B12-F12</f>
        <v>4311</v>
      </c>
      <c r="C46" s="51">
        <v>4164</v>
      </c>
      <c r="D46" s="58"/>
      <c r="E46" s="51">
        <v>4165</v>
      </c>
      <c r="F46" s="33"/>
      <c r="G46" s="33"/>
      <c r="H46" s="33"/>
      <c r="I46" s="33"/>
    </row>
    <row r="47" spans="1:11">
      <c r="A47" s="14" t="s">
        <v>76</v>
      </c>
      <c r="B47" s="58">
        <f>B27</f>
        <v>535</v>
      </c>
      <c r="C47" s="58">
        <f>C27</f>
        <v>513.09090909090912</v>
      </c>
      <c r="D47" s="58">
        <f>D27</f>
        <v>515.5</v>
      </c>
      <c r="E47" s="58">
        <f>E27</f>
        <v>508</v>
      </c>
      <c r="F47" s="33"/>
      <c r="G47" s="33"/>
      <c r="H47" s="33"/>
      <c r="I47" s="33"/>
    </row>
    <row r="48" spans="1:11">
      <c r="A48" s="14" t="s">
        <v>77</v>
      </c>
      <c r="B48" s="58"/>
      <c r="C48" s="51">
        <v>382</v>
      </c>
      <c r="D48" s="58"/>
      <c r="E48" s="51">
        <v>271.17500000000001</v>
      </c>
      <c r="F48" s="33"/>
      <c r="G48" s="33"/>
      <c r="H48" s="33"/>
      <c r="I48" s="33"/>
    </row>
    <row r="50" spans="1:11" s="37" customFormat="1">
      <c r="A50" s="37" t="s">
        <v>78</v>
      </c>
      <c r="B50" s="37">
        <f>+SUM(B39:B40)/B47</f>
        <v>4.3663551401869158</v>
      </c>
      <c r="C50" s="37">
        <f>+SUM(C39:C40)/C47</f>
        <v>4.5527994330262223</v>
      </c>
      <c r="D50" s="37">
        <f>+SUM(D39:D40)/D47</f>
        <v>4.5454898157128998</v>
      </c>
      <c r="E50" s="37">
        <f>+SUM(E39:E40)/E47</f>
        <v>4.6125984251968504</v>
      </c>
    </row>
    <row r="51" spans="1:11" s="37" customFormat="1">
      <c r="A51" s="37" t="s">
        <v>79</v>
      </c>
      <c r="B51" s="37">
        <f>+B41/B47</f>
        <v>5.5626168224299066</v>
      </c>
      <c r="C51" s="37">
        <f>+C41/C47</f>
        <v>5.8001417434443656</v>
      </c>
      <c r="D51" s="37">
        <f>+D41/D47</f>
        <v>5.787002909796314</v>
      </c>
      <c r="E51" s="37">
        <f>+E41/E47</f>
        <v>5.8724409448818893</v>
      </c>
    </row>
    <row r="52" spans="1:11" s="37" customFormat="1">
      <c r="A52" s="37" t="s">
        <v>80</v>
      </c>
      <c r="B52" s="37">
        <f>+(B41-B44)/B47</f>
        <v>5.2747663551401871</v>
      </c>
      <c r="C52" s="37">
        <f>+(C41-C44)/C47</f>
        <v>5.5</v>
      </c>
      <c r="D52" s="37">
        <f>+(D41-D44)/D47</f>
        <v>5.5840931134820559</v>
      </c>
      <c r="E52" s="37">
        <f>+(E41-E44)/E47</f>
        <v>5.8507874015748031</v>
      </c>
    </row>
    <row r="53" spans="1:11" s="38" customFormat="1">
      <c r="A53" s="38" t="s">
        <v>81</v>
      </c>
      <c r="B53" s="38">
        <f>+B48/B41</f>
        <v>0</v>
      </c>
      <c r="C53" s="38">
        <f>+C48/C41</f>
        <v>0.12836021505376344</v>
      </c>
      <c r="D53" s="38">
        <f>+D48/D41</f>
        <v>0</v>
      </c>
      <c r="E53" s="38">
        <f>+E48/E41</f>
        <v>9.0900710646285882E-2</v>
      </c>
    </row>
    <row r="54" spans="1:11" s="38" customFormat="1">
      <c r="A54" s="39" t="s">
        <v>82</v>
      </c>
      <c r="B54" s="40"/>
      <c r="C54" s="40"/>
      <c r="D54" s="40"/>
      <c r="E54" s="40"/>
      <c r="F54" s="40"/>
      <c r="G54" s="40"/>
      <c r="H54" s="40"/>
      <c r="I54" s="40"/>
      <c r="J54" s="39"/>
      <c r="K54" s="39"/>
    </row>
    <row r="55" spans="1:11" s="38" customFormat="1">
      <c r="A55" s="38" t="s">
        <v>83</v>
      </c>
      <c r="B55" s="41">
        <f>IF(B42=0,IF(B54="","","*"&amp;TEXT(B54,"0.0x")),(B41+B42-B44)/B47)</f>
        <v>7.1271028037383175</v>
      </c>
      <c r="C55" s="41">
        <f>IF(C42=0,IF(C54="","","*"&amp;TEXT(C54,"0.0x")),(C41+C42-C44)/C47)</f>
        <v>7.4314316087880927</v>
      </c>
      <c r="D55" s="41">
        <f>IF(D42=0,IF(D54="","","*"&amp;TEXT(D54,"0.0x")),(D41+D42-D44)/D47)</f>
        <v>7.5064985451018424</v>
      </c>
      <c r="E55" s="41">
        <f>IF(E42=0,IF(E54="","","*"&amp;TEXT(E54,"0.0x")),(E41+E42-E44)/E47)</f>
        <v>7.8015748031496059</v>
      </c>
      <c r="F55" s="41"/>
      <c r="G55" s="41"/>
      <c r="H55" s="41"/>
      <c r="I55" s="41"/>
      <c r="J55" s="41" t="str">
        <f>IF(J42=0,IF(J54="","",CONCATENATE("* ",J54,"x")),(J41+J42-J44)/J47)</f>
        <v/>
      </c>
      <c r="K55" s="41" t="str">
        <f>IF(K42=0,IF(K54="","",CONCATENATE("* ",K54,"x")),(K41+K42-K44)/K47)</f>
        <v/>
      </c>
    </row>
    <row r="56" spans="1:11">
      <c r="I56" s="42"/>
    </row>
    <row r="57" spans="1:11" ht="80.25" customHeight="1">
      <c r="A57" s="43" t="s">
        <v>84</v>
      </c>
      <c r="B57" s="44" t="s">
        <v>663</v>
      </c>
      <c r="C57" s="44" t="s">
        <v>289</v>
      </c>
      <c r="D57" s="44" t="s">
        <v>289</v>
      </c>
      <c r="E57" s="44" t="s">
        <v>90</v>
      </c>
      <c r="F57" s="44"/>
      <c r="G57" s="44"/>
      <c r="H57" s="44"/>
      <c r="I57" s="44"/>
      <c r="J57" s="44"/>
      <c r="K57" s="44"/>
    </row>
    <row r="58" spans="1:11">
      <c r="A58" s="45"/>
      <c r="B58" s="42"/>
      <c r="C58" s="42"/>
      <c r="D58" s="42"/>
      <c r="E58" s="42"/>
    </row>
    <row r="59" spans="1:11">
      <c r="A59" s="45"/>
    </row>
  </sheetData>
  <pageMargins left="0.7" right="0.7" top="0.75" bottom="0.75" header="0.3" footer="0.3"/>
  <pageSetup orientation="portrait" r:id="rId1"/>
  <legacy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FA9D7-D4A6-4026-B4F2-09B8BD52DE2C}">
  <dimension ref="A2:K59"/>
  <sheetViews>
    <sheetView showGridLines="0" zoomScaleNormal="100" workbookViewId="0">
      <pane xSplit="1" ySplit="10" topLeftCell="B11" activePane="bottomRight" state="frozen"/>
      <selection activeCell="B8" sqref="B8"/>
      <selection pane="topRight" activeCell="B8" sqref="B8"/>
      <selection pane="bottomLeft" activeCell="B8" sqref="B8"/>
      <selection pane="bottomRight" activeCell="B11" sqref="B11"/>
    </sheetView>
  </sheetViews>
  <sheetFormatPr defaultColWidth="9.109375" defaultRowHeight="13.8"/>
  <cols>
    <col min="1" max="1" width="22.6640625" style="14" customWidth="1"/>
    <col min="2" max="11" width="10.6640625" style="14" customWidth="1"/>
    <col min="12" max="16384" width="9.109375" style="14"/>
  </cols>
  <sheetData>
    <row r="2" spans="1:11">
      <c r="A2" s="13" t="s">
        <v>44</v>
      </c>
      <c r="B2" s="14" t="s">
        <v>590</v>
      </c>
    </row>
    <row r="3" spans="1:11" s="16" customFormat="1">
      <c r="A3" s="15" t="s">
        <v>45</v>
      </c>
      <c r="B3" s="16" t="s">
        <v>591</v>
      </c>
    </row>
    <row r="4" spans="1:11">
      <c r="A4" s="13" t="s">
        <v>2</v>
      </c>
      <c r="B4" s="14" t="s">
        <v>4</v>
      </c>
    </row>
    <row r="5" spans="1:11">
      <c r="A5" s="13" t="s">
        <v>46</v>
      </c>
    </row>
    <row r="6" spans="1:11">
      <c r="A6" s="13" t="s">
        <v>47</v>
      </c>
      <c r="B6" s="14">
        <v>3</v>
      </c>
    </row>
    <row r="7" spans="1:11">
      <c r="A7" s="13" t="s">
        <v>48</v>
      </c>
      <c r="B7" s="14" t="s">
        <v>482</v>
      </c>
    </row>
    <row r="8" spans="1:11">
      <c r="A8" s="13" t="s">
        <v>347</v>
      </c>
      <c r="B8" s="14" t="s">
        <v>592</v>
      </c>
    </row>
    <row r="9" spans="1:11">
      <c r="A9" s="17"/>
    </row>
    <row r="10" spans="1:11">
      <c r="A10" s="17" t="s">
        <v>49</v>
      </c>
      <c r="B10" s="18">
        <v>44286</v>
      </c>
      <c r="C10" s="18">
        <v>44196</v>
      </c>
      <c r="D10" s="18">
        <v>44104</v>
      </c>
      <c r="E10" s="18">
        <f>EOMONTH(D10,-3)</f>
        <v>44012</v>
      </c>
      <c r="F10" s="18">
        <f t="shared" ref="F10:K10" si="0">EOMONTH(E10,-3)</f>
        <v>43921</v>
      </c>
      <c r="G10" s="18">
        <f t="shared" si="0"/>
        <v>43830</v>
      </c>
      <c r="H10" s="18">
        <f t="shared" si="0"/>
        <v>43738</v>
      </c>
      <c r="I10" s="18">
        <f t="shared" si="0"/>
        <v>43646</v>
      </c>
      <c r="J10" s="18">
        <f t="shared" si="0"/>
        <v>43555</v>
      </c>
      <c r="K10" s="18">
        <f t="shared" si="0"/>
        <v>43465</v>
      </c>
    </row>
    <row r="12" spans="1:11">
      <c r="A12" s="19" t="s">
        <v>50</v>
      </c>
      <c r="B12" s="20">
        <v>1160.0360000000001</v>
      </c>
      <c r="C12" s="20"/>
      <c r="D12" s="20"/>
      <c r="E12" s="20"/>
      <c r="F12" s="20">
        <v>822.55799999999999</v>
      </c>
      <c r="G12" s="20"/>
      <c r="H12" s="20"/>
      <c r="I12" s="20"/>
      <c r="J12" s="20"/>
      <c r="K12" s="20"/>
    </row>
    <row r="13" spans="1:11" s="21" customFormat="1">
      <c r="A13" s="21" t="s">
        <v>51</v>
      </c>
      <c r="B13" s="21">
        <f>+B12/F12-1</f>
        <v>0.41027866727938944</v>
      </c>
    </row>
    <row r="14" spans="1:11" s="24" customFormat="1">
      <c r="A14" s="22" t="s">
        <v>52</v>
      </c>
      <c r="B14" s="23" t="s">
        <v>3</v>
      </c>
      <c r="C14" s="23"/>
      <c r="D14" s="23"/>
      <c r="E14" s="23"/>
      <c r="F14" s="23"/>
      <c r="G14" s="23"/>
      <c r="H14" s="22"/>
      <c r="I14" s="22"/>
      <c r="J14" s="22"/>
      <c r="K14" s="22"/>
    </row>
    <row r="16" spans="1:11" s="17" customFormat="1">
      <c r="A16" s="25" t="s">
        <v>53</v>
      </c>
      <c r="B16" s="26">
        <v>84.406000000000006</v>
      </c>
      <c r="C16" s="26"/>
      <c r="D16" s="26"/>
      <c r="E16" s="26"/>
      <c r="F16" s="26">
        <v>41.814</v>
      </c>
      <c r="G16" s="26"/>
      <c r="H16" s="26"/>
      <c r="I16" s="26"/>
      <c r="J16" s="26"/>
      <c r="K16" s="26"/>
    </row>
    <row r="17" spans="1:11" s="21" customFormat="1">
      <c r="A17" s="21" t="s">
        <v>54</v>
      </c>
      <c r="B17" s="21">
        <f t="shared" ref="B17" si="1">+B16/B12</f>
        <v>7.2761534986845233E-2</v>
      </c>
      <c r="F17" s="21">
        <f t="shared" ref="F17" si="2">+F16/F12</f>
        <v>5.083410531536986E-2</v>
      </c>
    </row>
    <row r="18" spans="1:11" s="24" customFormat="1"/>
    <row r="19" spans="1:11" s="24" customFormat="1">
      <c r="A19" s="19" t="s">
        <v>55</v>
      </c>
      <c r="B19" s="20">
        <v>0</v>
      </c>
      <c r="C19" s="20"/>
      <c r="D19" s="20"/>
      <c r="E19" s="20"/>
      <c r="F19" s="20">
        <v>0</v>
      </c>
      <c r="G19" s="20"/>
      <c r="H19" s="20"/>
      <c r="I19" s="20"/>
      <c r="J19" s="20"/>
      <c r="K19" s="20"/>
    </row>
    <row r="20" spans="1:11" s="24" customFormat="1">
      <c r="A20" s="19" t="s">
        <v>56</v>
      </c>
      <c r="B20" s="20">
        <v>0</v>
      </c>
      <c r="C20" s="20"/>
      <c r="D20" s="20"/>
      <c r="E20" s="20"/>
      <c r="F20" s="20">
        <v>0</v>
      </c>
      <c r="G20" s="20"/>
      <c r="H20" s="20"/>
      <c r="I20" s="20"/>
      <c r="J20" s="20"/>
      <c r="K20" s="20"/>
    </row>
    <row r="21" spans="1:11" s="24" customFormat="1">
      <c r="A21" s="19" t="s">
        <v>57</v>
      </c>
      <c r="B21" s="20">
        <v>0</v>
      </c>
      <c r="C21" s="20"/>
      <c r="D21" s="20"/>
      <c r="E21" s="20"/>
      <c r="F21" s="20">
        <v>0</v>
      </c>
      <c r="G21" s="20"/>
      <c r="H21" s="20"/>
      <c r="I21" s="20"/>
      <c r="J21" s="20"/>
      <c r="K21" s="20"/>
    </row>
    <row r="22" spans="1:11" s="17" customFormat="1">
      <c r="A22" s="17" t="s">
        <v>58</v>
      </c>
      <c r="B22" s="27">
        <f t="shared" ref="B22" si="3">SUM(B16,B19:B21)</f>
        <v>84.406000000000006</v>
      </c>
      <c r="C22" s="27"/>
      <c r="D22" s="27"/>
      <c r="E22" s="27"/>
      <c r="F22" s="27">
        <f t="shared" ref="F22" si="4">SUM(F16,F19:F21)</f>
        <v>41.814</v>
      </c>
      <c r="G22" s="27"/>
      <c r="H22" s="27"/>
      <c r="I22" s="27"/>
      <c r="J22" s="27"/>
      <c r="K22" s="27"/>
    </row>
    <row r="23" spans="1:11" s="17" customFormat="1">
      <c r="B23" s="27"/>
      <c r="C23" s="27"/>
      <c r="D23" s="27"/>
      <c r="E23" s="27"/>
      <c r="F23" s="27"/>
      <c r="G23" s="27"/>
      <c r="H23" s="27"/>
      <c r="I23" s="27"/>
      <c r="J23" s="27"/>
      <c r="K23" s="27"/>
    </row>
    <row r="24" spans="1:11" s="17" customFormat="1">
      <c r="A24" s="17" t="s">
        <v>59</v>
      </c>
      <c r="B24" s="27"/>
      <c r="C24" s="27"/>
      <c r="D24" s="27"/>
      <c r="E24" s="27"/>
      <c r="F24" s="27"/>
      <c r="G24" s="27"/>
      <c r="H24" s="27"/>
      <c r="I24" s="27"/>
      <c r="J24" s="27"/>
      <c r="K24" s="27"/>
    </row>
    <row r="25" spans="1:11" s="24" customFormat="1">
      <c r="A25" s="19" t="s">
        <v>60</v>
      </c>
      <c r="B25" s="28"/>
      <c r="C25" s="28"/>
      <c r="D25" s="28"/>
      <c r="E25" s="28"/>
      <c r="F25" s="28"/>
      <c r="G25" s="28"/>
      <c r="H25" s="28"/>
      <c r="I25" s="28"/>
      <c r="J25" s="28"/>
      <c r="K25" s="28"/>
    </row>
    <row r="26" spans="1:11" s="24" customFormat="1">
      <c r="A26" s="19" t="s">
        <v>61</v>
      </c>
      <c r="B26" s="29"/>
      <c r="C26" s="29"/>
      <c r="D26" s="29"/>
      <c r="E26" s="29"/>
      <c r="F26" s="29"/>
      <c r="G26" s="29"/>
      <c r="H26" s="29"/>
      <c r="I26" s="30"/>
      <c r="J26" s="30"/>
      <c r="K26" s="30"/>
    </row>
    <row r="27" spans="1:11" s="32" customFormat="1">
      <c r="A27" s="17" t="s">
        <v>62</v>
      </c>
      <c r="B27" s="27"/>
      <c r="C27" s="27"/>
      <c r="D27" s="27"/>
      <c r="E27" s="27"/>
      <c r="F27" s="27"/>
      <c r="G27" s="27"/>
      <c r="H27" s="27"/>
      <c r="I27" s="31"/>
      <c r="J27" s="31"/>
      <c r="K27" s="31"/>
    </row>
    <row r="28" spans="1:11" s="24" customFormat="1"/>
    <row r="29" spans="1:11" s="17" customFormat="1">
      <c r="A29" s="17" t="s">
        <v>58</v>
      </c>
      <c r="B29" s="27">
        <f t="shared" ref="B29" si="5">B22</f>
        <v>84.406000000000006</v>
      </c>
      <c r="C29" s="27"/>
      <c r="D29" s="27"/>
      <c r="E29" s="27"/>
      <c r="F29" s="27">
        <f t="shared" ref="F29" si="6">F22</f>
        <v>41.814</v>
      </c>
      <c r="G29" s="27"/>
      <c r="H29" s="27"/>
      <c r="I29" s="27"/>
      <c r="J29" s="27"/>
      <c r="K29" s="27"/>
    </row>
    <row r="30" spans="1:11" s="33" customFormat="1">
      <c r="A30" s="20" t="s">
        <v>63</v>
      </c>
      <c r="B30" s="20">
        <v>-17.79</v>
      </c>
      <c r="C30" s="20"/>
      <c r="D30" s="20"/>
      <c r="E30" s="20"/>
      <c r="F30" s="20">
        <v>-18.341000000000001</v>
      </c>
      <c r="G30" s="20"/>
      <c r="H30" s="20"/>
      <c r="I30" s="20"/>
      <c r="J30" s="20"/>
      <c r="K30" s="20"/>
    </row>
    <row r="31" spans="1:11" s="33" customFormat="1">
      <c r="A31" s="20" t="s">
        <v>64</v>
      </c>
      <c r="B31" s="20">
        <v>5.2480000000000002</v>
      </c>
      <c r="C31" s="20"/>
      <c r="D31" s="20"/>
      <c r="E31" s="20"/>
      <c r="F31" s="20">
        <v>-0.24399999999999999</v>
      </c>
      <c r="G31" s="20"/>
      <c r="H31" s="20"/>
      <c r="I31" s="20"/>
      <c r="J31" s="20"/>
      <c r="K31" s="20"/>
    </row>
    <row r="32" spans="1:11" s="33" customFormat="1">
      <c r="A32" s="20" t="s">
        <v>65</v>
      </c>
      <c r="B32" s="20">
        <f>-67.706-123.606+12.734+10.552-7.23+47.023-10.653+3.659</f>
        <v>-135.227</v>
      </c>
      <c r="C32" s="20"/>
      <c r="D32" s="20"/>
      <c r="E32" s="20"/>
      <c r="F32" s="20">
        <f>-15.276-28.875+21.758-5.98-1.266+24.765+7.318-12.486</f>
        <v>-10.041999999999996</v>
      </c>
      <c r="G32" s="20"/>
      <c r="H32" s="20"/>
      <c r="I32" s="20"/>
      <c r="J32" s="20"/>
      <c r="K32" s="20"/>
    </row>
    <row r="33" spans="1:11" s="33" customFormat="1">
      <c r="A33" s="20" t="s">
        <v>66</v>
      </c>
      <c r="B33" s="20">
        <v>0</v>
      </c>
      <c r="C33" s="20"/>
      <c r="D33" s="20"/>
      <c r="E33" s="20"/>
      <c r="F33" s="20">
        <v>0</v>
      </c>
      <c r="G33" s="20"/>
      <c r="H33" s="20"/>
      <c r="I33" s="20"/>
      <c r="J33" s="20"/>
      <c r="K33" s="20"/>
    </row>
    <row r="34" spans="1:11" s="33" customFormat="1">
      <c r="A34" s="20" t="s">
        <v>57</v>
      </c>
      <c r="B34" s="29">
        <v>0</v>
      </c>
      <c r="C34" s="29"/>
      <c r="D34" s="29"/>
      <c r="E34" s="29"/>
      <c r="F34" s="29">
        <v>0</v>
      </c>
      <c r="G34" s="29"/>
      <c r="H34" s="29"/>
      <c r="I34" s="29"/>
      <c r="J34" s="29"/>
      <c r="K34" s="29"/>
    </row>
    <row r="35" spans="1:11" s="27" customFormat="1">
      <c r="A35" s="27" t="s">
        <v>67</v>
      </c>
      <c r="B35" s="27">
        <v>-75.537999999999997</v>
      </c>
      <c r="F35" s="27">
        <v>6.1959999999999997</v>
      </c>
    </row>
    <row r="36" spans="1:11" s="33" customFormat="1">
      <c r="A36" s="20" t="s">
        <v>68</v>
      </c>
      <c r="B36" s="29">
        <v>-11.327</v>
      </c>
      <c r="C36" s="29"/>
      <c r="D36" s="29"/>
      <c r="E36" s="29"/>
      <c r="F36" s="29">
        <v>-11.42</v>
      </c>
      <c r="G36" s="29"/>
      <c r="H36" s="29"/>
      <c r="I36" s="29"/>
      <c r="J36" s="29"/>
      <c r="K36" s="29"/>
    </row>
    <row r="37" spans="1:11" s="27" customFormat="1">
      <c r="A37" s="27" t="s">
        <v>69</v>
      </c>
      <c r="B37" s="27">
        <f t="shared" ref="B37" si="7">+B35+B36</f>
        <v>-86.864999999999995</v>
      </c>
      <c r="F37" s="27">
        <f t="shared" ref="F37" si="8">+F35+F36</f>
        <v>-5.2240000000000002</v>
      </c>
    </row>
    <row r="39" spans="1:11" s="35" customFormat="1">
      <c r="A39" s="34" t="s">
        <v>70</v>
      </c>
      <c r="B39" s="20">
        <v>0</v>
      </c>
      <c r="C39" s="20">
        <v>0</v>
      </c>
      <c r="D39" s="20">
        <v>6</v>
      </c>
      <c r="E39" s="20"/>
      <c r="F39" s="20"/>
      <c r="G39" s="20"/>
      <c r="H39" s="20"/>
      <c r="I39" s="20"/>
      <c r="J39" s="20"/>
      <c r="K39" s="20"/>
    </row>
    <row r="40" spans="1:11" s="35" customFormat="1">
      <c r="A40" s="34" t="s">
        <v>71</v>
      </c>
      <c r="B40" s="20">
        <f>1350+10.483</f>
        <v>1360.4829999999999</v>
      </c>
      <c r="C40" s="20">
        <f>1350+13.239</f>
        <v>1363.239</v>
      </c>
      <c r="D40" s="20">
        <v>1350</v>
      </c>
      <c r="E40" s="20"/>
      <c r="F40" s="20"/>
      <c r="G40" s="20"/>
      <c r="H40" s="20"/>
      <c r="I40" s="20"/>
      <c r="J40" s="20"/>
      <c r="K40" s="20"/>
    </row>
    <row r="41" spans="1:11" s="35" customFormat="1">
      <c r="A41" s="34" t="s">
        <v>72</v>
      </c>
      <c r="B41" s="20">
        <f>+B39+B40+550</f>
        <v>1910.4829999999999</v>
      </c>
      <c r="C41" s="20">
        <f>+C39+C40+550</f>
        <v>1913.239</v>
      </c>
      <c r="D41" s="20">
        <f>D39+D40+550</f>
        <v>1906</v>
      </c>
      <c r="E41" s="20"/>
      <c r="F41" s="20"/>
      <c r="G41" s="20"/>
      <c r="H41" s="20"/>
      <c r="I41" s="20"/>
      <c r="J41" s="20"/>
      <c r="K41" s="20"/>
    </row>
    <row r="42" spans="1:11" s="35" customFormat="1">
      <c r="A42" s="34" t="s">
        <v>73</v>
      </c>
      <c r="B42" s="36">
        <v>1085</v>
      </c>
      <c r="C42" s="36">
        <v>1085</v>
      </c>
      <c r="D42" s="36">
        <v>1085</v>
      </c>
      <c r="E42" s="36"/>
      <c r="F42" s="36"/>
      <c r="G42" s="36"/>
      <c r="H42" s="36"/>
      <c r="I42" s="36"/>
      <c r="J42" s="36"/>
      <c r="K42" s="36"/>
    </row>
    <row r="43" spans="1:11">
      <c r="B43" s="35"/>
      <c r="C43" s="35"/>
      <c r="D43" s="35"/>
      <c r="E43" s="35"/>
      <c r="F43" s="35"/>
    </row>
    <row r="44" spans="1:11">
      <c r="A44" s="19" t="s">
        <v>74</v>
      </c>
      <c r="B44" s="28">
        <v>4.0990000000000002</v>
      </c>
      <c r="C44" s="28">
        <v>11.632999999999999</v>
      </c>
      <c r="D44" s="28">
        <v>0</v>
      </c>
      <c r="E44" s="28"/>
      <c r="F44" s="28"/>
      <c r="G44" s="28"/>
      <c r="H44" s="28"/>
      <c r="I44" s="57"/>
      <c r="J44" s="57"/>
      <c r="K44" s="57"/>
    </row>
    <row r="46" spans="1:11">
      <c r="A46" s="14" t="s">
        <v>75</v>
      </c>
      <c r="B46" s="51">
        <f>C46+B12-F12</f>
        <v>4132.1809999999996</v>
      </c>
      <c r="C46" s="51">
        <f>124.743+3669.96</f>
        <v>3794.703</v>
      </c>
      <c r="D46" s="51">
        <v>3940</v>
      </c>
      <c r="E46" s="33"/>
      <c r="F46" s="33"/>
      <c r="G46" s="33"/>
      <c r="H46" s="33"/>
    </row>
    <row r="47" spans="1:11">
      <c r="A47" s="14" t="s">
        <v>76</v>
      </c>
      <c r="B47" s="51">
        <f>C47+B22-F22</f>
        <v>330.41999999999996</v>
      </c>
      <c r="C47" s="51">
        <f>283.691+4.137</f>
        <v>287.82799999999997</v>
      </c>
      <c r="D47" s="51">
        <v>306</v>
      </c>
      <c r="E47" s="33"/>
      <c r="F47" s="33"/>
      <c r="G47" s="33"/>
      <c r="H47" s="33"/>
    </row>
    <row r="48" spans="1:11">
      <c r="A48" s="14" t="s">
        <v>77</v>
      </c>
      <c r="B48" s="51">
        <f>+C48+B37-F37</f>
        <v>70.081999999999994</v>
      </c>
      <c r="C48" s="51">
        <f>10.38+171.254-0.538-29.373</f>
        <v>151.72299999999998</v>
      </c>
      <c r="D48" s="51">
        <v>172.75</v>
      </c>
      <c r="E48" s="33"/>
      <c r="F48" s="33"/>
      <c r="G48" s="33"/>
      <c r="H48" s="33"/>
    </row>
    <row r="50" spans="1:11" s="37" customFormat="1">
      <c r="A50" s="37" t="s">
        <v>78</v>
      </c>
      <c r="B50" s="37">
        <f>+SUM(B39:B40)/B47</f>
        <v>4.1174353852672363</v>
      </c>
      <c r="C50" s="37">
        <f>+SUM(C39:C40)/C47</f>
        <v>4.7362973720416361</v>
      </c>
      <c r="D50" s="37">
        <f>+SUM(D39:D40)/D47</f>
        <v>4.4313725490196081</v>
      </c>
    </row>
    <row r="51" spans="1:11" s="37" customFormat="1">
      <c r="A51" s="37" t="s">
        <v>79</v>
      </c>
      <c r="B51" s="37">
        <f>+B41/B47</f>
        <v>5.7819835361055629</v>
      </c>
      <c r="C51" s="37">
        <f>+C41/C47</f>
        <v>6.6471608043692765</v>
      </c>
      <c r="D51" s="37">
        <f>+D41/D47</f>
        <v>6.2287581699346406</v>
      </c>
    </row>
    <row r="52" spans="1:11" s="37" customFormat="1">
      <c r="A52" s="37" t="s">
        <v>80</v>
      </c>
      <c r="B52" s="37">
        <f>+(B41-B44)/B47</f>
        <v>5.7695781127050427</v>
      </c>
      <c r="C52" s="37">
        <f>+(C41-C44)/C47</f>
        <v>6.6067443056269726</v>
      </c>
      <c r="D52" s="37">
        <f>+(D41-D44)/D47</f>
        <v>6.2287581699346406</v>
      </c>
    </row>
    <row r="53" spans="1:11" s="38" customFormat="1">
      <c r="A53" s="38" t="s">
        <v>81</v>
      </c>
      <c r="B53" s="38">
        <f>+B48/B41</f>
        <v>3.6682870247994874E-2</v>
      </c>
      <c r="C53" s="38">
        <f>+C48/C41</f>
        <v>7.9301645011417801E-2</v>
      </c>
      <c r="D53" s="38">
        <f>+D48/D41</f>
        <v>9.0634837355718784E-2</v>
      </c>
    </row>
    <row r="54" spans="1:11" s="38" customFormat="1">
      <c r="A54" s="39" t="s">
        <v>82</v>
      </c>
      <c r="B54" s="40"/>
      <c r="C54" s="40"/>
      <c r="D54" s="40"/>
      <c r="E54" s="40"/>
      <c r="F54" s="40"/>
      <c r="G54" s="40"/>
      <c r="H54" s="40"/>
      <c r="I54" s="39"/>
      <c r="J54" s="39"/>
      <c r="K54" s="39"/>
    </row>
    <row r="55" spans="1:11" s="38" customFormat="1">
      <c r="A55" s="38" t="s">
        <v>83</v>
      </c>
      <c r="B55" s="41">
        <f>IF(B42=0,IF(B54="","","*"&amp;TEXT(B54,"0.0x")),(B41+B42-B44)/B47)</f>
        <v>9.0532776466315603</v>
      </c>
      <c r="C55" s="41">
        <f>IF(C42=0,IF(C54="","","*"&amp;TEXT(C54,"0.0x")),(C41+C42-C44)/C47)</f>
        <v>10.376356713036955</v>
      </c>
      <c r="D55" s="41">
        <f>IF(D42=0,IF(D54="","","*"&amp;TEXT(D54,"0.0x")),(D41+D42-D44)/D47)</f>
        <v>9.7745098039215694</v>
      </c>
      <c r="E55" s="41"/>
      <c r="F55" s="41"/>
      <c r="G55" s="41"/>
      <c r="H55" s="41"/>
      <c r="I55" s="41"/>
      <c r="J55" s="41" t="str">
        <f>IF(J42=0,IF(J54="","",CONCATENATE("* ",J54,"x")),(J41+J42-J44)/J47)</f>
        <v/>
      </c>
      <c r="K55" s="41" t="str">
        <f>IF(K42=0,IF(K54="","",CONCATENATE("* ",K54,"x")),(K41+K42-K44)/K47)</f>
        <v/>
      </c>
    </row>
    <row r="56" spans="1:11">
      <c r="H56" s="42"/>
    </row>
    <row r="57" spans="1:11" ht="80.25" customHeight="1">
      <c r="A57" s="43" t="s">
        <v>84</v>
      </c>
      <c r="B57" s="44" t="s">
        <v>289</v>
      </c>
      <c r="C57" s="44" t="s">
        <v>289</v>
      </c>
      <c r="D57" s="44" t="s">
        <v>593</v>
      </c>
      <c r="E57" s="44"/>
      <c r="F57" s="44"/>
      <c r="G57" s="44"/>
      <c r="H57" s="44"/>
      <c r="I57" s="44"/>
      <c r="J57" s="44"/>
      <c r="K57" s="44"/>
    </row>
    <row r="58" spans="1:11">
      <c r="A58" s="45"/>
      <c r="B58" s="42"/>
      <c r="C58" s="42"/>
      <c r="D58" s="42"/>
    </row>
    <row r="59" spans="1:11">
      <c r="A59" s="45"/>
    </row>
  </sheetData>
  <pageMargins left="0.7" right="0.7" top="0.75" bottom="0.75" header="0.3" footer="0.3"/>
  <pageSetup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B5F33-F20D-4E20-8684-01DE2B8EE8C4}">
  <dimension ref="A2:I59"/>
  <sheetViews>
    <sheetView showGridLines="0" zoomScaleNormal="100" workbookViewId="0">
      <pane xSplit="1" ySplit="10" topLeftCell="B11" activePane="bottomRight" state="frozen"/>
      <selection activeCell="B8" sqref="B8"/>
      <selection pane="topRight" activeCell="B8" sqref="B8"/>
      <selection pane="bottomLeft" activeCell="B8" sqref="B8"/>
      <selection pane="bottomRight" activeCell="B11" sqref="B11"/>
    </sheetView>
  </sheetViews>
  <sheetFormatPr defaultColWidth="9.109375" defaultRowHeight="13.8"/>
  <cols>
    <col min="1" max="1" width="22.6640625" style="14" customWidth="1"/>
    <col min="2" max="9" width="10.6640625" style="14" customWidth="1"/>
    <col min="10" max="16384" width="9.109375" style="14"/>
  </cols>
  <sheetData>
    <row r="2" spans="1:9">
      <c r="A2" s="13" t="s">
        <v>44</v>
      </c>
      <c r="B2" s="14" t="s">
        <v>594</v>
      </c>
    </row>
    <row r="3" spans="1:9" s="16" customFormat="1">
      <c r="A3" s="15" t="s">
        <v>45</v>
      </c>
      <c r="B3" s="16" t="s">
        <v>595</v>
      </c>
    </row>
    <row r="4" spans="1:9">
      <c r="A4" s="13" t="s">
        <v>2</v>
      </c>
      <c r="B4" s="14" t="s">
        <v>4</v>
      </c>
    </row>
    <row r="5" spans="1:9">
      <c r="A5" s="13" t="s">
        <v>46</v>
      </c>
    </row>
    <row r="6" spans="1:9">
      <c r="A6" s="13" t="s">
        <v>47</v>
      </c>
      <c r="B6" s="14">
        <v>3</v>
      </c>
    </row>
    <row r="7" spans="1:9">
      <c r="A7" s="13" t="s">
        <v>48</v>
      </c>
      <c r="B7" s="14" t="s">
        <v>596</v>
      </c>
    </row>
    <row r="8" spans="1:9">
      <c r="A8" s="13" t="s">
        <v>347</v>
      </c>
      <c r="B8" s="14" t="s">
        <v>401</v>
      </c>
    </row>
    <row r="9" spans="1:9">
      <c r="A9" s="17"/>
    </row>
    <row r="10" spans="1:9">
      <c r="A10" s="17" t="s">
        <v>49</v>
      </c>
      <c r="B10" s="18">
        <v>44196</v>
      </c>
      <c r="C10" s="18">
        <f>EOMONTH(B10,-3)</f>
        <v>44104</v>
      </c>
      <c r="D10" s="18">
        <f t="shared" ref="D10:I10" si="0">EOMONTH(C10,-3)</f>
        <v>44012</v>
      </c>
      <c r="E10" s="18">
        <f t="shared" si="0"/>
        <v>43921</v>
      </c>
      <c r="F10" s="18">
        <f t="shared" si="0"/>
        <v>43830</v>
      </c>
      <c r="G10" s="18">
        <f t="shared" si="0"/>
        <v>43738</v>
      </c>
      <c r="H10" s="18">
        <f t="shared" si="0"/>
        <v>43646</v>
      </c>
      <c r="I10" s="18">
        <f t="shared" si="0"/>
        <v>43555</v>
      </c>
    </row>
    <row r="12" spans="1:9">
      <c r="A12" s="19" t="s">
        <v>50</v>
      </c>
      <c r="B12" s="20">
        <v>0</v>
      </c>
      <c r="C12" s="20">
        <v>0</v>
      </c>
      <c r="D12" s="20">
        <v>0</v>
      </c>
      <c r="E12" s="20">
        <v>0</v>
      </c>
      <c r="F12" s="20">
        <v>0</v>
      </c>
      <c r="G12" s="20">
        <v>0</v>
      </c>
      <c r="H12" s="20">
        <v>0</v>
      </c>
      <c r="I12" s="20">
        <v>0</v>
      </c>
    </row>
    <row r="13" spans="1:9" s="21" customFormat="1">
      <c r="A13" s="21" t="s">
        <v>51</v>
      </c>
      <c r="B13" s="21" t="e">
        <f>+B12/F12-1</f>
        <v>#DIV/0!</v>
      </c>
      <c r="C13" s="21" t="e">
        <f>+C12/G12-1</f>
        <v>#DIV/0!</v>
      </c>
      <c r="D13" s="21" t="e">
        <f>+D12/H12-1</f>
        <v>#DIV/0!</v>
      </c>
      <c r="E13" s="21" t="e">
        <f>+E12/I12-1</f>
        <v>#DIV/0!</v>
      </c>
    </row>
    <row r="14" spans="1:9" s="24" customFormat="1">
      <c r="A14" s="22" t="s">
        <v>52</v>
      </c>
      <c r="B14" s="23" t="s">
        <v>3</v>
      </c>
      <c r="C14" s="23" t="s">
        <v>3</v>
      </c>
      <c r="D14" s="23" t="s">
        <v>3</v>
      </c>
      <c r="E14" s="23" t="s">
        <v>3</v>
      </c>
      <c r="F14" s="22"/>
      <c r="G14" s="22"/>
      <c r="H14" s="22"/>
      <c r="I14" s="22"/>
    </row>
    <row r="16" spans="1:9" s="17" customFormat="1">
      <c r="A16" s="25" t="s">
        <v>53</v>
      </c>
      <c r="B16" s="26">
        <v>0</v>
      </c>
      <c r="C16" s="26">
        <v>0</v>
      </c>
      <c r="D16" s="26">
        <v>0</v>
      </c>
      <c r="E16" s="26">
        <v>0</v>
      </c>
      <c r="F16" s="26">
        <v>0</v>
      </c>
      <c r="G16" s="26">
        <v>0</v>
      </c>
      <c r="H16" s="26">
        <v>0</v>
      </c>
      <c r="I16" s="26">
        <v>0</v>
      </c>
    </row>
    <row r="17" spans="1:9" s="21" customFormat="1">
      <c r="A17" s="21" t="s">
        <v>54</v>
      </c>
      <c r="B17" s="21" t="e">
        <f>+B16/B12</f>
        <v>#DIV/0!</v>
      </c>
      <c r="C17" s="21" t="e">
        <f t="shared" ref="C17:I17" si="1">+C16/C12</f>
        <v>#DIV/0!</v>
      </c>
      <c r="D17" s="21" t="e">
        <f t="shared" si="1"/>
        <v>#DIV/0!</v>
      </c>
      <c r="E17" s="21" t="e">
        <f t="shared" si="1"/>
        <v>#DIV/0!</v>
      </c>
      <c r="F17" s="21" t="e">
        <f t="shared" si="1"/>
        <v>#DIV/0!</v>
      </c>
      <c r="G17" s="21" t="e">
        <f t="shared" si="1"/>
        <v>#DIV/0!</v>
      </c>
      <c r="H17" s="21" t="e">
        <f t="shared" si="1"/>
        <v>#DIV/0!</v>
      </c>
      <c r="I17" s="21" t="e">
        <f t="shared" si="1"/>
        <v>#DIV/0!</v>
      </c>
    </row>
    <row r="18" spans="1:9" s="24" customFormat="1"/>
    <row r="19" spans="1:9" s="24" customFormat="1">
      <c r="A19" s="19" t="s">
        <v>55</v>
      </c>
      <c r="B19" s="20">
        <v>0</v>
      </c>
      <c r="C19" s="20">
        <v>0</v>
      </c>
      <c r="D19" s="20">
        <v>0</v>
      </c>
      <c r="E19" s="20">
        <v>0</v>
      </c>
      <c r="F19" s="20">
        <v>0</v>
      </c>
      <c r="G19" s="20">
        <v>0</v>
      </c>
      <c r="H19" s="20">
        <v>0</v>
      </c>
      <c r="I19" s="20">
        <v>0</v>
      </c>
    </row>
    <row r="20" spans="1:9" s="24" customFormat="1">
      <c r="A20" s="19" t="s">
        <v>56</v>
      </c>
      <c r="B20" s="20">
        <v>0</v>
      </c>
      <c r="C20" s="20">
        <v>0</v>
      </c>
      <c r="D20" s="20">
        <v>0</v>
      </c>
      <c r="E20" s="20">
        <v>0</v>
      </c>
      <c r="F20" s="20">
        <v>0</v>
      </c>
      <c r="G20" s="20">
        <v>0</v>
      </c>
      <c r="H20" s="20">
        <v>0</v>
      </c>
      <c r="I20" s="20">
        <v>0</v>
      </c>
    </row>
    <row r="21" spans="1:9" s="24" customFormat="1">
      <c r="A21" s="19" t="s">
        <v>57</v>
      </c>
      <c r="B21" s="20">
        <v>0</v>
      </c>
      <c r="C21" s="20">
        <v>0</v>
      </c>
      <c r="D21" s="20">
        <v>0</v>
      </c>
      <c r="E21" s="20">
        <v>0</v>
      </c>
      <c r="F21" s="20">
        <v>0</v>
      </c>
      <c r="G21" s="20">
        <v>0</v>
      </c>
      <c r="H21" s="20">
        <v>0</v>
      </c>
      <c r="I21" s="20">
        <v>0</v>
      </c>
    </row>
    <row r="22" spans="1:9" s="17" customFormat="1">
      <c r="A22" s="17" t="s">
        <v>58</v>
      </c>
      <c r="B22" s="27">
        <f>SUM(B16,B19:B21)</f>
        <v>0</v>
      </c>
      <c r="C22" s="27">
        <f t="shared" ref="C22:I22" si="2">SUM(C16,C19:C21)</f>
        <v>0</v>
      </c>
      <c r="D22" s="27">
        <f t="shared" si="2"/>
        <v>0</v>
      </c>
      <c r="E22" s="27">
        <f t="shared" si="2"/>
        <v>0</v>
      </c>
      <c r="F22" s="27">
        <f t="shared" si="2"/>
        <v>0</v>
      </c>
      <c r="G22" s="27">
        <f t="shared" si="2"/>
        <v>0</v>
      </c>
      <c r="H22" s="27">
        <f t="shared" si="2"/>
        <v>0</v>
      </c>
      <c r="I22" s="27">
        <f t="shared" si="2"/>
        <v>0</v>
      </c>
    </row>
    <row r="23" spans="1:9" s="17" customFormat="1">
      <c r="B23" s="27"/>
      <c r="C23" s="27"/>
      <c r="D23" s="27"/>
      <c r="E23" s="27"/>
      <c r="F23" s="27"/>
      <c r="G23" s="27"/>
      <c r="H23" s="27"/>
      <c r="I23" s="27"/>
    </row>
    <row r="24" spans="1:9" s="17" customFormat="1">
      <c r="A24" s="17" t="s">
        <v>59</v>
      </c>
      <c r="B24" s="27">
        <f>SUM(B22:E22)</f>
        <v>0</v>
      </c>
      <c r="C24" s="27">
        <f>SUM(C22:F22)</f>
        <v>0</v>
      </c>
      <c r="D24" s="27">
        <f>SUM(D22:G22)</f>
        <v>0</v>
      </c>
      <c r="E24" s="27">
        <f>SUM(E22:H22)</f>
        <v>0</v>
      </c>
      <c r="F24" s="27">
        <f>SUM(F22:I22)</f>
        <v>0</v>
      </c>
      <c r="G24" s="27"/>
      <c r="H24" s="27"/>
      <c r="I24" s="27"/>
    </row>
    <row r="25" spans="1:9" s="24" customFormat="1">
      <c r="A25" s="19" t="s">
        <v>60</v>
      </c>
      <c r="B25" s="28">
        <v>0</v>
      </c>
      <c r="C25" s="28">
        <v>0</v>
      </c>
      <c r="D25" s="28">
        <v>0</v>
      </c>
      <c r="E25" s="28">
        <v>0</v>
      </c>
      <c r="F25" s="28">
        <v>0</v>
      </c>
      <c r="G25" s="28">
        <v>0</v>
      </c>
      <c r="H25" s="28">
        <v>0</v>
      </c>
      <c r="I25" s="28">
        <v>0</v>
      </c>
    </row>
    <row r="26" spans="1:9" s="24" customFormat="1">
      <c r="A26" s="19" t="s">
        <v>61</v>
      </c>
      <c r="B26" s="29">
        <v>0</v>
      </c>
      <c r="C26" s="29">
        <v>0</v>
      </c>
      <c r="D26" s="29">
        <v>0</v>
      </c>
      <c r="E26" s="29">
        <v>0</v>
      </c>
      <c r="F26" s="29">
        <v>0</v>
      </c>
      <c r="G26" s="30"/>
      <c r="H26" s="30"/>
      <c r="I26" s="30"/>
    </row>
    <row r="27" spans="1:9" s="32" customFormat="1">
      <c r="A27" s="17" t="s">
        <v>62</v>
      </c>
      <c r="B27" s="27">
        <f>SUM(B24:B26)</f>
        <v>0</v>
      </c>
      <c r="C27" s="27">
        <f>SUM(C24:C26)</f>
        <v>0</v>
      </c>
      <c r="D27" s="27">
        <f>SUM(D24:D26)</f>
        <v>0</v>
      </c>
      <c r="E27" s="27">
        <f>SUM(E24:E26)</f>
        <v>0</v>
      </c>
      <c r="F27" s="27">
        <f>SUM(F24:F26)</f>
        <v>0</v>
      </c>
      <c r="G27" s="31"/>
      <c r="H27" s="31"/>
      <c r="I27" s="31"/>
    </row>
    <row r="28" spans="1:9" s="24" customFormat="1"/>
    <row r="29" spans="1:9" s="17" customFormat="1">
      <c r="A29" s="17" t="s">
        <v>58</v>
      </c>
      <c r="B29" s="27">
        <f t="shared" ref="B29:I29" si="3">B22</f>
        <v>0</v>
      </c>
      <c r="C29" s="27">
        <f t="shared" si="3"/>
        <v>0</v>
      </c>
      <c r="D29" s="27">
        <f t="shared" si="3"/>
        <v>0</v>
      </c>
      <c r="E29" s="27">
        <f t="shared" si="3"/>
        <v>0</v>
      </c>
      <c r="F29" s="27">
        <f t="shared" si="3"/>
        <v>0</v>
      </c>
      <c r="G29" s="27">
        <f t="shared" si="3"/>
        <v>0</v>
      </c>
      <c r="H29" s="27">
        <f t="shared" si="3"/>
        <v>0</v>
      </c>
      <c r="I29" s="27">
        <f t="shared" si="3"/>
        <v>0</v>
      </c>
    </row>
    <row r="30" spans="1:9" s="33" customFormat="1">
      <c r="A30" s="20" t="s">
        <v>63</v>
      </c>
      <c r="B30" s="20">
        <v>0</v>
      </c>
      <c r="C30" s="20">
        <v>0</v>
      </c>
      <c r="D30" s="20">
        <v>0</v>
      </c>
      <c r="E30" s="20">
        <v>0</v>
      </c>
      <c r="F30" s="20">
        <v>0</v>
      </c>
      <c r="G30" s="20">
        <v>0</v>
      </c>
      <c r="H30" s="20">
        <v>0</v>
      </c>
      <c r="I30" s="20">
        <v>0</v>
      </c>
    </row>
    <row r="31" spans="1:9" s="33" customFormat="1">
      <c r="A31" s="20" t="s">
        <v>64</v>
      </c>
      <c r="B31" s="20">
        <v>0</v>
      </c>
      <c r="C31" s="20">
        <v>0</v>
      </c>
      <c r="D31" s="20">
        <v>0</v>
      </c>
      <c r="E31" s="20">
        <v>0</v>
      </c>
      <c r="F31" s="20">
        <v>0</v>
      </c>
      <c r="G31" s="20">
        <v>0</v>
      </c>
      <c r="H31" s="20">
        <v>0</v>
      </c>
      <c r="I31" s="20">
        <v>0</v>
      </c>
    </row>
    <row r="32" spans="1:9" s="33" customFormat="1">
      <c r="A32" s="20" t="s">
        <v>65</v>
      </c>
      <c r="B32" s="20">
        <v>0</v>
      </c>
      <c r="C32" s="20">
        <v>0</v>
      </c>
      <c r="D32" s="20">
        <v>0</v>
      </c>
      <c r="E32" s="20">
        <v>0</v>
      </c>
      <c r="F32" s="20">
        <v>0</v>
      </c>
      <c r="G32" s="20">
        <v>0</v>
      </c>
      <c r="H32" s="20">
        <v>0</v>
      </c>
      <c r="I32" s="20">
        <v>0</v>
      </c>
    </row>
    <row r="33" spans="1:9" s="33" customFormat="1">
      <c r="A33" s="20" t="s">
        <v>66</v>
      </c>
      <c r="B33" s="20">
        <v>0</v>
      </c>
      <c r="C33" s="20">
        <v>0</v>
      </c>
      <c r="D33" s="20">
        <v>0</v>
      </c>
      <c r="E33" s="20">
        <v>0</v>
      </c>
      <c r="F33" s="20">
        <v>0</v>
      </c>
      <c r="G33" s="20">
        <v>0</v>
      </c>
      <c r="H33" s="20">
        <v>0</v>
      </c>
      <c r="I33" s="20">
        <v>0</v>
      </c>
    </row>
    <row r="34" spans="1:9" s="33" customFormat="1">
      <c r="A34" s="20" t="s">
        <v>57</v>
      </c>
      <c r="B34" s="29">
        <v>0</v>
      </c>
      <c r="C34" s="29">
        <v>0</v>
      </c>
      <c r="D34" s="29">
        <v>0</v>
      </c>
      <c r="E34" s="29">
        <v>0</v>
      </c>
      <c r="F34" s="29">
        <v>0</v>
      </c>
      <c r="G34" s="29">
        <v>0</v>
      </c>
      <c r="H34" s="29">
        <v>0</v>
      </c>
      <c r="I34" s="29">
        <v>0</v>
      </c>
    </row>
    <row r="35" spans="1:9" s="27" customFormat="1">
      <c r="A35" s="27" t="s">
        <v>67</v>
      </c>
      <c r="B35" s="27">
        <v>0</v>
      </c>
      <c r="C35" s="27">
        <v>0</v>
      </c>
      <c r="D35" s="27">
        <v>0</v>
      </c>
      <c r="E35" s="27">
        <v>0</v>
      </c>
      <c r="F35" s="27">
        <v>0</v>
      </c>
      <c r="G35" s="27">
        <v>0</v>
      </c>
      <c r="H35" s="27">
        <v>0</v>
      </c>
      <c r="I35" s="27">
        <v>0</v>
      </c>
    </row>
    <row r="36" spans="1:9" s="33" customFormat="1">
      <c r="A36" s="20" t="s">
        <v>68</v>
      </c>
      <c r="B36" s="29">
        <v>0</v>
      </c>
      <c r="C36" s="29">
        <v>0</v>
      </c>
      <c r="D36" s="29">
        <v>0</v>
      </c>
      <c r="E36" s="29">
        <v>0</v>
      </c>
      <c r="F36" s="29">
        <v>0</v>
      </c>
      <c r="G36" s="29">
        <v>0</v>
      </c>
      <c r="H36" s="29">
        <v>0</v>
      </c>
      <c r="I36" s="29">
        <v>0</v>
      </c>
    </row>
    <row r="37" spans="1:9" s="27" customFormat="1">
      <c r="A37" s="27" t="s">
        <v>69</v>
      </c>
      <c r="B37" s="27">
        <f>+B35+B36</f>
        <v>0</v>
      </c>
      <c r="C37" s="27">
        <f t="shared" ref="C37:I37" si="4">+C35+C36</f>
        <v>0</v>
      </c>
      <c r="D37" s="27">
        <f t="shared" si="4"/>
        <v>0</v>
      </c>
      <c r="E37" s="27">
        <f t="shared" si="4"/>
        <v>0</v>
      </c>
      <c r="F37" s="27">
        <f t="shared" si="4"/>
        <v>0</v>
      </c>
      <c r="G37" s="27">
        <f t="shared" si="4"/>
        <v>0</v>
      </c>
      <c r="H37" s="27">
        <f t="shared" si="4"/>
        <v>0</v>
      </c>
      <c r="I37" s="27">
        <f t="shared" si="4"/>
        <v>0</v>
      </c>
    </row>
    <row r="39" spans="1:9" s="35" customFormat="1">
      <c r="A39" s="34" t="s">
        <v>70</v>
      </c>
      <c r="B39" s="20">
        <v>0</v>
      </c>
      <c r="C39" s="20"/>
      <c r="D39" s="20"/>
      <c r="E39" s="20"/>
      <c r="F39" s="20"/>
      <c r="G39" s="20"/>
      <c r="H39" s="20"/>
      <c r="I39" s="20"/>
    </row>
    <row r="40" spans="1:9" s="35" customFormat="1">
      <c r="A40" s="34" t="s">
        <v>71</v>
      </c>
      <c r="B40" s="20">
        <v>1550</v>
      </c>
      <c r="C40" s="20"/>
      <c r="D40" s="20"/>
      <c r="E40" s="20"/>
      <c r="F40" s="20"/>
      <c r="G40" s="20"/>
      <c r="H40" s="20"/>
      <c r="I40" s="20"/>
    </row>
    <row r="41" spans="1:9" s="35" customFormat="1">
      <c r="A41" s="34" t="s">
        <v>72</v>
      </c>
      <c r="B41" s="20">
        <f>B39+B40+550</f>
        <v>2100</v>
      </c>
      <c r="C41" s="20"/>
      <c r="D41" s="20"/>
      <c r="E41" s="20"/>
      <c r="F41" s="20"/>
      <c r="G41" s="20"/>
      <c r="H41" s="20"/>
      <c r="I41" s="20"/>
    </row>
    <row r="42" spans="1:9" s="35" customFormat="1">
      <c r="A42" s="34" t="s">
        <v>73</v>
      </c>
      <c r="B42" s="36">
        <v>1990</v>
      </c>
      <c r="C42" s="36"/>
      <c r="D42" s="36"/>
      <c r="E42" s="36"/>
      <c r="F42" s="36"/>
      <c r="G42" s="36"/>
      <c r="H42" s="36"/>
      <c r="I42" s="36"/>
    </row>
    <row r="43" spans="1:9">
      <c r="B43" s="35"/>
      <c r="C43" s="35"/>
      <c r="D43" s="35"/>
    </row>
    <row r="44" spans="1:9">
      <c r="A44" s="19" t="s">
        <v>74</v>
      </c>
      <c r="B44" s="28">
        <v>0</v>
      </c>
      <c r="C44" s="28"/>
      <c r="D44" s="28"/>
      <c r="E44" s="28"/>
      <c r="F44" s="28"/>
      <c r="G44" s="57"/>
      <c r="H44" s="57"/>
      <c r="I44" s="57"/>
    </row>
    <row r="46" spans="1:9">
      <c r="A46" s="14" t="s">
        <v>75</v>
      </c>
      <c r="B46" s="51">
        <v>1283</v>
      </c>
      <c r="C46" s="33"/>
      <c r="D46" s="33"/>
      <c r="E46" s="33"/>
      <c r="F46" s="33"/>
    </row>
    <row r="47" spans="1:9">
      <c r="A47" s="14" t="s">
        <v>76</v>
      </c>
      <c r="B47" s="51">
        <v>294.3</v>
      </c>
      <c r="C47" s="33"/>
      <c r="D47" s="33"/>
      <c r="E47" s="33"/>
      <c r="F47" s="33"/>
    </row>
    <row r="48" spans="1:9">
      <c r="A48" s="14" t="s">
        <v>77</v>
      </c>
      <c r="B48" s="51">
        <v>137.42500000000001</v>
      </c>
      <c r="C48" s="33"/>
      <c r="D48" s="33"/>
      <c r="E48" s="33"/>
      <c r="F48" s="33"/>
    </row>
    <row r="50" spans="1:9" s="37" customFormat="1">
      <c r="A50" s="37" t="s">
        <v>78</v>
      </c>
      <c r="B50" s="37">
        <f>+SUM(B39:B40)/B47</f>
        <v>5.2667346245327895</v>
      </c>
    </row>
    <row r="51" spans="1:9" s="37" customFormat="1">
      <c r="A51" s="37" t="s">
        <v>79</v>
      </c>
      <c r="B51" s="37">
        <f>+B41/B47</f>
        <v>7.1355759429153922</v>
      </c>
    </row>
    <row r="52" spans="1:9" s="37" customFormat="1">
      <c r="A52" s="37" t="s">
        <v>80</v>
      </c>
      <c r="B52" s="37">
        <f>+(B41-B44)/B47</f>
        <v>7.1355759429153922</v>
      </c>
    </row>
    <row r="53" spans="1:9" s="38" customFormat="1">
      <c r="A53" s="38" t="s">
        <v>81</v>
      </c>
      <c r="B53" s="38">
        <f>+B48/B41</f>
        <v>6.5440476190476202E-2</v>
      </c>
    </row>
    <row r="54" spans="1:9" s="38" customFormat="1">
      <c r="A54" s="39" t="s">
        <v>82</v>
      </c>
      <c r="B54" s="40"/>
      <c r="C54" s="40"/>
      <c r="D54" s="40"/>
      <c r="E54" s="40"/>
      <c r="F54" s="40"/>
      <c r="G54" s="39"/>
      <c r="H54" s="39"/>
      <c r="I54" s="39"/>
    </row>
    <row r="55" spans="1:9" s="38" customFormat="1">
      <c r="A55" s="38" t="s">
        <v>83</v>
      </c>
      <c r="B55" s="41">
        <f>IF(B42=0,IF(B54="","","*"&amp;TEXT(B54,"0.0x")),(B41+B42-B44)/B47)</f>
        <v>13.897383622154264</v>
      </c>
      <c r="C55" s="41"/>
      <c r="D55" s="41"/>
      <c r="E55" s="41"/>
      <c r="F55" s="41"/>
      <c r="G55" s="41" t="str">
        <f>IF(G42=0,IF(G54="","",CONCATENATE("* ",G54,"x")),(G41+G42-G44)/G47)</f>
        <v/>
      </c>
      <c r="H55" s="41" t="str">
        <f>IF(H42=0,IF(H54="","",CONCATENATE("* ",H54,"x")),(H41+H42-H44)/H47)</f>
        <v/>
      </c>
      <c r="I55" s="41" t="str">
        <f>IF(I42=0,IF(I54="","",CONCATENATE("* ",I54,"x")),(I41+I42-I44)/I47)</f>
        <v/>
      </c>
    </row>
    <row r="56" spans="1:9">
      <c r="F56" s="42"/>
    </row>
    <row r="57" spans="1:9" ht="80.25" customHeight="1">
      <c r="A57" s="43" t="s">
        <v>84</v>
      </c>
      <c r="B57" s="44" t="s">
        <v>90</v>
      </c>
      <c r="C57" s="44"/>
      <c r="D57" s="44"/>
      <c r="E57" s="44"/>
      <c r="F57" s="44"/>
      <c r="G57" s="44"/>
      <c r="H57" s="44"/>
      <c r="I57" s="44"/>
    </row>
    <row r="58" spans="1:9">
      <c r="A58" s="45"/>
      <c r="B58" s="42"/>
    </row>
    <row r="59" spans="1:9">
      <c r="A59" s="45"/>
    </row>
  </sheetData>
  <pageMargins left="0.7" right="0.7" top="0.75" bottom="0.75" header="0.3" footer="0.3"/>
  <pageSetup orientation="portrait"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EDD5B-6107-4C60-AFDA-48DF5FC04BB5}">
  <dimension ref="A2:K59"/>
  <sheetViews>
    <sheetView showGridLines="0" zoomScaleNormal="100" workbookViewId="0">
      <pane xSplit="1" ySplit="10" topLeftCell="B11" activePane="bottomRight" state="frozen"/>
      <selection activeCell="B8" sqref="B8"/>
      <selection pane="topRight" activeCell="B8" sqref="B8"/>
      <selection pane="bottomLeft" activeCell="B8" sqref="B8"/>
      <selection pane="bottomRight" activeCell="B11" sqref="B11"/>
    </sheetView>
  </sheetViews>
  <sheetFormatPr defaultColWidth="9.109375" defaultRowHeight="13.8"/>
  <cols>
    <col min="1" max="1" width="22.6640625" style="14" customWidth="1"/>
    <col min="2" max="11" width="10.6640625" style="14" customWidth="1"/>
    <col min="12" max="16384" width="9.109375" style="14"/>
  </cols>
  <sheetData>
    <row r="2" spans="1:11">
      <c r="A2" s="13" t="s">
        <v>44</v>
      </c>
      <c r="B2" s="14" t="s">
        <v>600</v>
      </c>
    </row>
    <row r="3" spans="1:11" s="16" customFormat="1">
      <c r="A3" s="15" t="s">
        <v>45</v>
      </c>
      <c r="B3" s="16" t="s">
        <v>601</v>
      </c>
    </row>
    <row r="4" spans="1:11">
      <c r="A4" s="13" t="s">
        <v>2</v>
      </c>
      <c r="B4" s="14" t="s">
        <v>4</v>
      </c>
    </row>
    <row r="5" spans="1:11">
      <c r="A5" s="13" t="s">
        <v>46</v>
      </c>
    </row>
    <row r="6" spans="1:11">
      <c r="A6" s="13" t="s">
        <v>47</v>
      </c>
    </row>
    <row r="7" spans="1:11">
      <c r="A7" s="13" t="s">
        <v>48</v>
      </c>
      <c r="B7" s="14" t="s">
        <v>603</v>
      </c>
    </row>
    <row r="8" spans="1:11">
      <c r="A8" s="13" t="s">
        <v>347</v>
      </c>
      <c r="B8" s="14" t="s">
        <v>602</v>
      </c>
    </row>
    <row r="9" spans="1:11">
      <c r="A9" s="17"/>
    </row>
    <row r="10" spans="1:11">
      <c r="A10" s="17" t="s">
        <v>49</v>
      </c>
      <c r="B10" s="18">
        <v>44316</v>
      </c>
      <c r="C10" s="18">
        <v>44227</v>
      </c>
      <c r="D10" s="18">
        <v>44135</v>
      </c>
      <c r="E10" s="18">
        <f>EOMONTH(D10,-3)</f>
        <v>44043</v>
      </c>
      <c r="F10" s="18">
        <f t="shared" ref="F10:K10" si="0">EOMONTH(E10,-3)</f>
        <v>43951</v>
      </c>
      <c r="G10" s="18">
        <f t="shared" si="0"/>
        <v>43861</v>
      </c>
      <c r="H10" s="18">
        <f t="shared" si="0"/>
        <v>43769</v>
      </c>
      <c r="I10" s="18">
        <f t="shared" si="0"/>
        <v>43677</v>
      </c>
      <c r="J10" s="18">
        <f t="shared" si="0"/>
        <v>43585</v>
      </c>
      <c r="K10" s="18">
        <f t="shared" si="0"/>
        <v>43496</v>
      </c>
    </row>
    <row r="12" spans="1:11">
      <c r="A12" s="19" t="s">
        <v>50</v>
      </c>
      <c r="B12" s="20">
        <v>0</v>
      </c>
      <c r="C12" s="20">
        <v>0</v>
      </c>
      <c r="D12" s="20">
        <v>0</v>
      </c>
      <c r="E12" s="20">
        <v>0</v>
      </c>
      <c r="F12" s="20">
        <v>0</v>
      </c>
      <c r="G12" s="20">
        <v>0</v>
      </c>
      <c r="H12" s="20">
        <v>0</v>
      </c>
      <c r="I12" s="20">
        <v>0</v>
      </c>
      <c r="J12" s="20">
        <v>0</v>
      </c>
      <c r="K12" s="20">
        <v>0</v>
      </c>
    </row>
    <row r="13" spans="1:11" s="21" customFormat="1">
      <c r="A13" s="21" t="s">
        <v>51</v>
      </c>
      <c r="B13" s="21" t="e">
        <f t="shared" ref="B13:G13" si="1">+B12/F12-1</f>
        <v>#DIV/0!</v>
      </c>
      <c r="C13" s="21" t="e">
        <f t="shared" si="1"/>
        <v>#DIV/0!</v>
      </c>
      <c r="D13" s="21" t="e">
        <f t="shared" si="1"/>
        <v>#DIV/0!</v>
      </c>
      <c r="E13" s="21" t="e">
        <f t="shared" si="1"/>
        <v>#DIV/0!</v>
      </c>
      <c r="F13" s="21" t="e">
        <f t="shared" si="1"/>
        <v>#DIV/0!</v>
      </c>
      <c r="G13" s="21" t="e">
        <f t="shared" si="1"/>
        <v>#DIV/0!</v>
      </c>
    </row>
    <row r="14" spans="1:11" s="24" customFormat="1">
      <c r="A14" s="22" t="s">
        <v>52</v>
      </c>
      <c r="B14" s="23" t="s">
        <v>3</v>
      </c>
      <c r="C14" s="23" t="s">
        <v>3</v>
      </c>
      <c r="D14" s="23" t="s">
        <v>3</v>
      </c>
      <c r="E14" s="23" t="s">
        <v>3</v>
      </c>
      <c r="F14" s="23" t="s">
        <v>3</v>
      </c>
      <c r="G14" s="23" t="s">
        <v>3</v>
      </c>
      <c r="H14" s="22"/>
      <c r="I14" s="22"/>
      <c r="J14" s="22"/>
      <c r="K14" s="22"/>
    </row>
    <row r="16" spans="1:11" s="17" customFormat="1">
      <c r="A16" s="25" t="s">
        <v>53</v>
      </c>
      <c r="B16" s="26">
        <v>0</v>
      </c>
      <c r="C16" s="26">
        <v>0</v>
      </c>
      <c r="D16" s="26">
        <v>0</v>
      </c>
      <c r="E16" s="26">
        <v>0</v>
      </c>
      <c r="F16" s="26">
        <v>0</v>
      </c>
      <c r="G16" s="26">
        <v>0</v>
      </c>
      <c r="H16" s="26">
        <v>0</v>
      </c>
      <c r="I16" s="26">
        <v>0</v>
      </c>
      <c r="J16" s="26">
        <v>0</v>
      </c>
      <c r="K16" s="26">
        <v>0</v>
      </c>
    </row>
    <row r="17" spans="1:11" s="21" customFormat="1">
      <c r="A17" s="21" t="s">
        <v>54</v>
      </c>
      <c r="B17" s="21" t="e">
        <f>+B16/B12</f>
        <v>#DIV/0!</v>
      </c>
      <c r="C17" s="21" t="e">
        <f>+C16/C12</f>
        <v>#DIV/0!</v>
      </c>
      <c r="D17" s="21" t="e">
        <f>+D16/D12</f>
        <v>#DIV/0!</v>
      </c>
      <c r="E17" s="21" t="e">
        <f t="shared" ref="E17:K17" si="2">+E16/E12</f>
        <v>#DIV/0!</v>
      </c>
      <c r="F17" s="21" t="e">
        <f t="shared" si="2"/>
        <v>#DIV/0!</v>
      </c>
      <c r="G17" s="21" t="e">
        <f t="shared" si="2"/>
        <v>#DIV/0!</v>
      </c>
      <c r="H17" s="21" t="e">
        <f t="shared" si="2"/>
        <v>#DIV/0!</v>
      </c>
      <c r="I17" s="21" t="e">
        <f t="shared" si="2"/>
        <v>#DIV/0!</v>
      </c>
      <c r="J17" s="21" t="e">
        <f t="shared" si="2"/>
        <v>#DIV/0!</v>
      </c>
      <c r="K17" s="21" t="e">
        <f t="shared" si="2"/>
        <v>#DIV/0!</v>
      </c>
    </row>
    <row r="18" spans="1:11" s="24" customFormat="1"/>
    <row r="19" spans="1:11" s="24" customFormat="1">
      <c r="A19" s="19" t="s">
        <v>55</v>
      </c>
      <c r="B19" s="20">
        <v>0</v>
      </c>
      <c r="C19" s="20">
        <v>0</v>
      </c>
      <c r="D19" s="20">
        <v>0</v>
      </c>
      <c r="E19" s="20">
        <v>0</v>
      </c>
      <c r="F19" s="20">
        <v>0</v>
      </c>
      <c r="G19" s="20">
        <v>0</v>
      </c>
      <c r="H19" s="20">
        <v>0</v>
      </c>
      <c r="I19" s="20">
        <v>0</v>
      </c>
      <c r="J19" s="20">
        <v>0</v>
      </c>
      <c r="K19" s="20">
        <v>0</v>
      </c>
    </row>
    <row r="20" spans="1:11" s="24" customFormat="1">
      <c r="A20" s="19" t="s">
        <v>56</v>
      </c>
      <c r="B20" s="20">
        <v>0</v>
      </c>
      <c r="C20" s="20">
        <v>0</v>
      </c>
      <c r="D20" s="20">
        <v>0</v>
      </c>
      <c r="E20" s="20">
        <v>0</v>
      </c>
      <c r="F20" s="20">
        <v>0</v>
      </c>
      <c r="G20" s="20">
        <v>0</v>
      </c>
      <c r="H20" s="20">
        <v>0</v>
      </c>
      <c r="I20" s="20">
        <v>0</v>
      </c>
      <c r="J20" s="20">
        <v>0</v>
      </c>
      <c r="K20" s="20">
        <v>0</v>
      </c>
    </row>
    <row r="21" spans="1:11" s="24" customFormat="1">
      <c r="A21" s="19" t="s">
        <v>57</v>
      </c>
      <c r="B21" s="20">
        <v>0</v>
      </c>
      <c r="C21" s="20">
        <v>0</v>
      </c>
      <c r="D21" s="20">
        <v>0</v>
      </c>
      <c r="E21" s="20">
        <v>0</v>
      </c>
      <c r="F21" s="20">
        <v>0</v>
      </c>
      <c r="G21" s="20">
        <v>0</v>
      </c>
      <c r="H21" s="20">
        <v>0</v>
      </c>
      <c r="I21" s="20">
        <v>0</v>
      </c>
      <c r="J21" s="20">
        <v>0</v>
      </c>
      <c r="K21" s="20">
        <v>0</v>
      </c>
    </row>
    <row r="22" spans="1:11" s="17" customFormat="1">
      <c r="A22" s="17" t="s">
        <v>58</v>
      </c>
      <c r="B22" s="27">
        <f>SUM(B16,B19:B21)</f>
        <v>0</v>
      </c>
      <c r="C22" s="27">
        <f>SUM(C16,C19:C21)</f>
        <v>0</v>
      </c>
      <c r="D22" s="27">
        <f>SUM(D16,D19:D21)</f>
        <v>0</v>
      </c>
      <c r="E22" s="27">
        <f t="shared" ref="E22:K22" si="3">SUM(E16,E19:E21)</f>
        <v>0</v>
      </c>
      <c r="F22" s="27">
        <f t="shared" si="3"/>
        <v>0</v>
      </c>
      <c r="G22" s="27">
        <f t="shared" si="3"/>
        <v>0</v>
      </c>
      <c r="H22" s="27">
        <f t="shared" si="3"/>
        <v>0</v>
      </c>
      <c r="I22" s="27">
        <f t="shared" si="3"/>
        <v>0</v>
      </c>
      <c r="J22" s="27">
        <f t="shared" si="3"/>
        <v>0</v>
      </c>
      <c r="K22" s="27">
        <f t="shared" si="3"/>
        <v>0</v>
      </c>
    </row>
    <row r="23" spans="1:11" s="17" customFormat="1">
      <c r="B23" s="27"/>
      <c r="C23" s="27"/>
      <c r="D23" s="27"/>
      <c r="E23" s="27"/>
      <c r="F23" s="27"/>
      <c r="G23" s="27"/>
      <c r="H23" s="27"/>
      <c r="I23" s="27"/>
      <c r="J23" s="27"/>
      <c r="K23" s="27"/>
    </row>
    <row r="24" spans="1:11" s="17" customFormat="1">
      <c r="A24" s="17" t="s">
        <v>59</v>
      </c>
      <c r="B24" s="27">
        <f t="shared" ref="B24:H24" si="4">SUM(B22:E22)</f>
        <v>0</v>
      </c>
      <c r="C24" s="27">
        <f t="shared" si="4"/>
        <v>0</v>
      </c>
      <c r="D24" s="27">
        <f t="shared" si="4"/>
        <v>0</v>
      </c>
      <c r="E24" s="27">
        <f t="shared" si="4"/>
        <v>0</v>
      </c>
      <c r="F24" s="27">
        <f t="shared" si="4"/>
        <v>0</v>
      </c>
      <c r="G24" s="27">
        <f t="shared" si="4"/>
        <v>0</v>
      </c>
      <c r="H24" s="27">
        <f t="shared" si="4"/>
        <v>0</v>
      </c>
      <c r="I24" s="27"/>
      <c r="J24" s="27"/>
      <c r="K24" s="27"/>
    </row>
    <row r="25" spans="1:11" s="24" customFormat="1">
      <c r="A25" s="19" t="s">
        <v>60</v>
      </c>
      <c r="B25" s="28">
        <v>0</v>
      </c>
      <c r="C25" s="28">
        <v>0</v>
      </c>
      <c r="D25" s="28">
        <v>0</v>
      </c>
      <c r="E25" s="28">
        <v>0</v>
      </c>
      <c r="F25" s="28">
        <v>0</v>
      </c>
      <c r="G25" s="28">
        <v>0</v>
      </c>
      <c r="H25" s="28">
        <v>0</v>
      </c>
      <c r="I25" s="28">
        <v>0</v>
      </c>
      <c r="J25" s="28">
        <v>0</v>
      </c>
      <c r="K25" s="28">
        <v>0</v>
      </c>
    </row>
    <row r="26" spans="1:11" s="24" customFormat="1">
      <c r="A26" s="19" t="s">
        <v>61</v>
      </c>
      <c r="B26" s="29">
        <v>0</v>
      </c>
      <c r="C26" s="29">
        <v>0</v>
      </c>
      <c r="D26" s="29">
        <v>0</v>
      </c>
      <c r="E26" s="29">
        <v>0</v>
      </c>
      <c r="F26" s="29">
        <v>0</v>
      </c>
      <c r="G26" s="29">
        <v>0</v>
      </c>
      <c r="H26" s="29">
        <v>0</v>
      </c>
      <c r="I26" s="30"/>
      <c r="J26" s="30"/>
      <c r="K26" s="30"/>
    </row>
    <row r="27" spans="1:11" s="32" customFormat="1">
      <c r="A27" s="17" t="s">
        <v>62</v>
      </c>
      <c r="B27" s="27">
        <f t="shared" ref="B27:H27" si="5">SUM(B24:B26)</f>
        <v>0</v>
      </c>
      <c r="C27" s="27">
        <f t="shared" si="5"/>
        <v>0</v>
      </c>
      <c r="D27" s="27">
        <f t="shared" si="5"/>
        <v>0</v>
      </c>
      <c r="E27" s="27">
        <f t="shared" si="5"/>
        <v>0</v>
      </c>
      <c r="F27" s="27">
        <f t="shared" si="5"/>
        <v>0</v>
      </c>
      <c r="G27" s="27">
        <f t="shared" si="5"/>
        <v>0</v>
      </c>
      <c r="H27" s="27">
        <f t="shared" si="5"/>
        <v>0</v>
      </c>
      <c r="I27" s="31"/>
      <c r="J27" s="31"/>
      <c r="K27" s="31"/>
    </row>
    <row r="28" spans="1:11" s="24" customFormat="1"/>
    <row r="29" spans="1:11" s="17" customFormat="1">
      <c r="A29" s="17" t="s">
        <v>58</v>
      </c>
      <c r="B29" s="27">
        <f t="shared" ref="B29" si="6">B22</f>
        <v>0</v>
      </c>
      <c r="C29" s="27">
        <f t="shared" ref="C29" si="7">C22</f>
        <v>0</v>
      </c>
      <c r="D29" s="27">
        <f t="shared" ref="D29:K29" si="8">D22</f>
        <v>0</v>
      </c>
      <c r="E29" s="27">
        <f t="shared" si="8"/>
        <v>0</v>
      </c>
      <c r="F29" s="27">
        <f t="shared" si="8"/>
        <v>0</v>
      </c>
      <c r="G29" s="27">
        <f t="shared" si="8"/>
        <v>0</v>
      </c>
      <c r="H29" s="27">
        <f t="shared" si="8"/>
        <v>0</v>
      </c>
      <c r="I29" s="27">
        <f t="shared" si="8"/>
        <v>0</v>
      </c>
      <c r="J29" s="27">
        <f t="shared" si="8"/>
        <v>0</v>
      </c>
      <c r="K29" s="27">
        <f t="shared" si="8"/>
        <v>0</v>
      </c>
    </row>
    <row r="30" spans="1:11" s="33" customFormat="1">
      <c r="A30" s="20" t="s">
        <v>63</v>
      </c>
      <c r="B30" s="20">
        <v>0</v>
      </c>
      <c r="C30" s="20">
        <v>0</v>
      </c>
      <c r="D30" s="20">
        <v>0</v>
      </c>
      <c r="E30" s="20">
        <v>0</v>
      </c>
      <c r="F30" s="20">
        <v>0</v>
      </c>
      <c r="G30" s="20">
        <v>0</v>
      </c>
      <c r="H30" s="20">
        <v>0</v>
      </c>
      <c r="I30" s="20">
        <v>0</v>
      </c>
      <c r="J30" s="20">
        <v>0</v>
      </c>
      <c r="K30" s="20">
        <v>0</v>
      </c>
    </row>
    <row r="31" spans="1:11" s="33" customFormat="1">
      <c r="A31" s="20" t="s">
        <v>64</v>
      </c>
      <c r="B31" s="20">
        <v>0</v>
      </c>
      <c r="C31" s="20">
        <v>0</v>
      </c>
      <c r="D31" s="20">
        <v>0</v>
      </c>
      <c r="E31" s="20">
        <v>0</v>
      </c>
      <c r="F31" s="20">
        <v>0</v>
      </c>
      <c r="G31" s="20">
        <v>0</v>
      </c>
      <c r="H31" s="20">
        <v>0</v>
      </c>
      <c r="I31" s="20">
        <v>0</v>
      </c>
      <c r="J31" s="20">
        <v>0</v>
      </c>
      <c r="K31" s="20">
        <v>0</v>
      </c>
    </row>
    <row r="32" spans="1:11" s="33" customFormat="1">
      <c r="A32" s="20" t="s">
        <v>65</v>
      </c>
      <c r="B32" s="20">
        <v>0</v>
      </c>
      <c r="C32" s="20">
        <v>0</v>
      </c>
      <c r="D32" s="20">
        <v>0</v>
      </c>
      <c r="E32" s="20">
        <v>0</v>
      </c>
      <c r="F32" s="20">
        <v>0</v>
      </c>
      <c r="G32" s="20">
        <v>0</v>
      </c>
      <c r="H32" s="20">
        <v>0</v>
      </c>
      <c r="I32" s="20">
        <v>0</v>
      </c>
      <c r="J32" s="20">
        <v>0</v>
      </c>
      <c r="K32" s="20">
        <v>0</v>
      </c>
    </row>
    <row r="33" spans="1:11" s="33" customFormat="1">
      <c r="A33" s="20" t="s">
        <v>66</v>
      </c>
      <c r="B33" s="20">
        <v>0</v>
      </c>
      <c r="C33" s="20">
        <v>0</v>
      </c>
      <c r="D33" s="20">
        <v>0</v>
      </c>
      <c r="E33" s="20">
        <v>0</v>
      </c>
      <c r="F33" s="20">
        <v>0</v>
      </c>
      <c r="G33" s="20">
        <v>0</v>
      </c>
      <c r="H33" s="20">
        <v>0</v>
      </c>
      <c r="I33" s="20">
        <v>0</v>
      </c>
      <c r="J33" s="20">
        <v>0</v>
      </c>
      <c r="K33" s="20">
        <v>0</v>
      </c>
    </row>
    <row r="34" spans="1:11" s="33" customFormat="1">
      <c r="A34" s="20" t="s">
        <v>57</v>
      </c>
      <c r="B34" s="29">
        <v>0</v>
      </c>
      <c r="C34" s="29">
        <v>0</v>
      </c>
      <c r="D34" s="29">
        <v>0</v>
      </c>
      <c r="E34" s="29">
        <v>0</v>
      </c>
      <c r="F34" s="29">
        <v>0</v>
      </c>
      <c r="G34" s="29">
        <v>0</v>
      </c>
      <c r="H34" s="29">
        <v>0</v>
      </c>
      <c r="I34" s="29">
        <v>0</v>
      </c>
      <c r="J34" s="29">
        <v>0</v>
      </c>
      <c r="K34" s="29">
        <v>0</v>
      </c>
    </row>
    <row r="35" spans="1:11" s="27" customFormat="1">
      <c r="A35" s="27" t="s">
        <v>67</v>
      </c>
      <c r="B35" s="27">
        <v>0</v>
      </c>
      <c r="C35" s="27">
        <v>0</v>
      </c>
      <c r="D35" s="27">
        <v>0</v>
      </c>
      <c r="E35" s="27">
        <v>0</v>
      </c>
      <c r="F35" s="27">
        <v>0</v>
      </c>
      <c r="G35" s="27">
        <v>0</v>
      </c>
      <c r="H35" s="27">
        <v>0</v>
      </c>
      <c r="I35" s="27">
        <v>0</v>
      </c>
      <c r="J35" s="27">
        <v>0</v>
      </c>
      <c r="K35" s="27">
        <v>0</v>
      </c>
    </row>
    <row r="36" spans="1:11" s="33" customFormat="1">
      <c r="A36" s="20" t="s">
        <v>68</v>
      </c>
      <c r="B36" s="29">
        <v>0</v>
      </c>
      <c r="C36" s="29">
        <v>0</v>
      </c>
      <c r="D36" s="29">
        <v>0</v>
      </c>
      <c r="E36" s="29">
        <v>0</v>
      </c>
      <c r="F36" s="29">
        <v>0</v>
      </c>
      <c r="G36" s="29">
        <v>0</v>
      </c>
      <c r="H36" s="29">
        <v>0</v>
      </c>
      <c r="I36" s="29">
        <v>0</v>
      </c>
      <c r="J36" s="29">
        <v>0</v>
      </c>
      <c r="K36" s="29">
        <v>0</v>
      </c>
    </row>
    <row r="37" spans="1:11" s="27" customFormat="1">
      <c r="A37" s="27" t="s">
        <v>69</v>
      </c>
      <c r="B37" s="27">
        <f>+B35+B36</f>
        <v>0</v>
      </c>
      <c r="C37" s="27">
        <f>+C35+C36</f>
        <v>0</v>
      </c>
      <c r="D37" s="27">
        <f>+D35+D36</f>
        <v>0</v>
      </c>
      <c r="E37" s="27">
        <f t="shared" ref="E37:K37" si="9">+E35+E36</f>
        <v>0</v>
      </c>
      <c r="F37" s="27">
        <f t="shared" si="9"/>
        <v>0</v>
      </c>
      <c r="G37" s="27">
        <f t="shared" si="9"/>
        <v>0</v>
      </c>
      <c r="H37" s="27">
        <f t="shared" si="9"/>
        <v>0</v>
      </c>
      <c r="I37" s="27">
        <f t="shared" si="9"/>
        <v>0</v>
      </c>
      <c r="J37" s="27">
        <f t="shared" si="9"/>
        <v>0</v>
      </c>
      <c r="K37" s="27">
        <f t="shared" si="9"/>
        <v>0</v>
      </c>
    </row>
    <row r="39" spans="1:11" s="35" customFormat="1">
      <c r="A39" s="34" t="s">
        <v>70</v>
      </c>
      <c r="B39" s="20">
        <v>0</v>
      </c>
      <c r="C39" s="20"/>
      <c r="D39" s="20">
        <v>0</v>
      </c>
      <c r="E39" s="20"/>
      <c r="F39" s="20"/>
      <c r="G39" s="20"/>
      <c r="H39" s="20"/>
      <c r="I39" s="20"/>
      <c r="J39" s="20"/>
      <c r="K39" s="20"/>
    </row>
    <row r="40" spans="1:11" s="35" customFormat="1">
      <c r="A40" s="34" t="s">
        <v>71</v>
      </c>
      <c r="B40" s="20">
        <v>570</v>
      </c>
      <c r="C40" s="20"/>
      <c r="D40" s="20">
        <v>435</v>
      </c>
      <c r="E40" s="20"/>
      <c r="F40" s="20"/>
      <c r="G40" s="20"/>
      <c r="H40" s="20"/>
      <c r="I40" s="20"/>
      <c r="J40" s="20"/>
      <c r="K40" s="20"/>
    </row>
    <row r="41" spans="1:11" s="35" customFormat="1">
      <c r="A41" s="34" t="s">
        <v>72</v>
      </c>
      <c r="B41" s="20">
        <f>B39+B40+160</f>
        <v>730</v>
      </c>
      <c r="C41" s="20"/>
      <c r="D41" s="20">
        <f>D39+D40+160</f>
        <v>595</v>
      </c>
      <c r="E41" s="20"/>
      <c r="F41" s="20"/>
      <c r="G41" s="20"/>
      <c r="H41" s="20"/>
      <c r="I41" s="20"/>
      <c r="J41" s="20"/>
      <c r="K41" s="20"/>
    </row>
    <row r="42" spans="1:11" s="35" customFormat="1">
      <c r="A42" s="34" t="s">
        <v>73</v>
      </c>
      <c r="B42" s="36">
        <v>569</v>
      </c>
      <c r="C42" s="36"/>
      <c r="D42" s="36">
        <v>569</v>
      </c>
      <c r="E42" s="36"/>
      <c r="F42" s="36"/>
      <c r="G42" s="36"/>
      <c r="H42" s="36"/>
      <c r="I42" s="36"/>
      <c r="J42" s="36"/>
      <c r="K42" s="36"/>
    </row>
    <row r="43" spans="1:11">
      <c r="B43" s="35"/>
      <c r="C43" s="35"/>
      <c r="D43" s="35"/>
      <c r="E43" s="35"/>
      <c r="F43" s="35"/>
    </row>
    <row r="44" spans="1:11">
      <c r="A44" s="19" t="s">
        <v>74</v>
      </c>
      <c r="B44" s="28">
        <v>22.4</v>
      </c>
      <c r="C44" s="28"/>
      <c r="D44" s="28">
        <v>1</v>
      </c>
      <c r="E44" s="28"/>
      <c r="F44" s="28"/>
      <c r="G44" s="28"/>
      <c r="H44" s="28"/>
      <c r="I44" s="57"/>
      <c r="J44" s="57"/>
      <c r="K44" s="57"/>
    </row>
    <row r="46" spans="1:11">
      <c r="A46" s="14" t="s">
        <v>75</v>
      </c>
      <c r="B46" s="51">
        <v>713.3</v>
      </c>
      <c r="C46" s="51"/>
      <c r="D46" s="51">
        <v>660.2</v>
      </c>
      <c r="E46" s="33"/>
      <c r="F46" s="33"/>
      <c r="G46" s="33"/>
      <c r="H46" s="33"/>
    </row>
    <row r="47" spans="1:11">
      <c r="A47" s="14" t="s">
        <v>76</v>
      </c>
      <c r="B47" s="51">
        <v>125.8</v>
      </c>
      <c r="C47" s="51"/>
      <c r="D47" s="51">
        <v>91.3</v>
      </c>
      <c r="E47" s="33"/>
      <c r="F47" s="33"/>
      <c r="G47" s="33"/>
      <c r="H47" s="33"/>
    </row>
    <row r="48" spans="1:11">
      <c r="A48" s="14" t="s">
        <v>77</v>
      </c>
      <c r="B48" s="51"/>
      <c r="C48" s="51"/>
      <c r="D48" s="51">
        <v>48.30149999999999</v>
      </c>
      <c r="E48" s="33"/>
      <c r="F48" s="33"/>
      <c r="G48" s="33"/>
      <c r="H48" s="33"/>
    </row>
    <row r="50" spans="1:11" s="37" customFormat="1">
      <c r="A50" s="37" t="s">
        <v>78</v>
      </c>
      <c r="B50" s="37">
        <f>+SUM(B39:B40)/B47</f>
        <v>4.5310015898251192</v>
      </c>
      <c r="D50" s="37">
        <f>+SUM(D39:D40)/D47</f>
        <v>4.7645125958378971</v>
      </c>
    </row>
    <row r="51" spans="1:11" s="37" customFormat="1">
      <c r="A51" s="37" t="s">
        <v>79</v>
      </c>
      <c r="B51" s="37">
        <f>+B41/B47</f>
        <v>5.8028616852146264</v>
      </c>
      <c r="D51" s="37">
        <f>+D41/D47</f>
        <v>6.5169769989047097</v>
      </c>
    </row>
    <row r="52" spans="1:11" s="37" customFormat="1">
      <c r="A52" s="37" t="s">
        <v>80</v>
      </c>
      <c r="B52" s="37">
        <f>+(B41-B44)/B47</f>
        <v>5.6248012718600959</v>
      </c>
      <c r="D52" s="37">
        <f>+(D41-D44)/D47</f>
        <v>6.5060240963855422</v>
      </c>
    </row>
    <row r="53" spans="1:11" s="38" customFormat="1">
      <c r="A53" s="38" t="s">
        <v>81</v>
      </c>
      <c r="B53" s="38">
        <f>+B48/B41</f>
        <v>0</v>
      </c>
      <c r="D53" s="38">
        <f>+D48/D41</f>
        <v>8.1178991596638633E-2</v>
      </c>
    </row>
    <row r="54" spans="1:11" s="38" customFormat="1">
      <c r="A54" s="39" t="s">
        <v>82</v>
      </c>
      <c r="B54" s="40"/>
      <c r="C54" s="40"/>
      <c r="D54" s="40"/>
      <c r="E54" s="40"/>
      <c r="F54" s="40"/>
      <c r="G54" s="40"/>
      <c r="H54" s="40"/>
      <c r="I54" s="39"/>
      <c r="J54" s="39"/>
      <c r="K54" s="39"/>
    </row>
    <row r="55" spans="1:11" s="38" customFormat="1">
      <c r="A55" s="38" t="s">
        <v>83</v>
      </c>
      <c r="B55" s="41">
        <f>IF(B42=0,IF(B54="","","*"&amp;TEXT(B54,"0.0x")),(B41+B42-B44)/B47)</f>
        <v>10.147853736089029</v>
      </c>
      <c r="C55" s="41"/>
      <c r="D55" s="41">
        <f>IF(D42=0,IF(D54="","","*"&amp;TEXT(D54,"0.0x")),(D41+D42-D44)/D47)</f>
        <v>12.738225629791895</v>
      </c>
      <c r="E55" s="41"/>
      <c r="F55" s="41"/>
      <c r="G55" s="41"/>
      <c r="H55" s="41"/>
      <c r="I55" s="41"/>
      <c r="J55" s="41" t="str">
        <f>IF(J42=0,IF(J54="","",CONCATENATE("* ",J54,"x")),(J41+J42-J44)/J47)</f>
        <v/>
      </c>
      <c r="K55" s="41" t="str">
        <f>IF(K42=0,IF(K54="","",CONCATENATE("* ",K54,"x")),(K41+K42-K44)/K47)</f>
        <v/>
      </c>
    </row>
    <row r="56" spans="1:11">
      <c r="H56" s="42"/>
    </row>
    <row r="57" spans="1:11" ht="80.25" customHeight="1">
      <c r="A57" s="43" t="s">
        <v>84</v>
      </c>
      <c r="B57" s="44" t="s">
        <v>297</v>
      </c>
      <c r="C57" s="44"/>
      <c r="D57" s="44" t="s">
        <v>90</v>
      </c>
      <c r="E57" s="44"/>
      <c r="F57" s="44"/>
      <c r="G57" s="44"/>
      <c r="H57" s="44"/>
      <c r="I57" s="44"/>
      <c r="J57" s="44"/>
      <c r="K57" s="44"/>
    </row>
    <row r="58" spans="1:11">
      <c r="A58" s="45"/>
      <c r="B58" s="42"/>
      <c r="C58" s="42"/>
      <c r="D58" s="42"/>
    </row>
    <row r="59" spans="1:11">
      <c r="A59" s="45"/>
    </row>
  </sheetData>
  <pageMargins left="0.7" right="0.7" top="0.75" bottom="0.75" header="0.3" footer="0.3"/>
  <pageSetup orientation="portrait"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6D07C-3FBA-44D7-A692-E24C9DB54A6B}">
  <dimension ref="A2:I59"/>
  <sheetViews>
    <sheetView showGridLines="0" zoomScaleNormal="100" workbookViewId="0">
      <pane xSplit="1" ySplit="10" topLeftCell="B11" activePane="bottomRight" state="frozen"/>
      <selection activeCell="B8" sqref="B8"/>
      <selection pane="topRight" activeCell="B8" sqref="B8"/>
      <selection pane="bottomLeft" activeCell="B8" sqref="B8"/>
      <selection pane="bottomRight" activeCell="B11" sqref="B11"/>
    </sheetView>
  </sheetViews>
  <sheetFormatPr defaultColWidth="9.109375" defaultRowHeight="13.8"/>
  <cols>
    <col min="1" max="1" width="22.6640625" style="14" customWidth="1"/>
    <col min="2" max="9" width="10.6640625" style="14" customWidth="1"/>
    <col min="10" max="16384" width="9.109375" style="14"/>
  </cols>
  <sheetData>
    <row r="2" spans="1:9">
      <c r="A2" s="13" t="s">
        <v>44</v>
      </c>
      <c r="B2" s="14" t="s">
        <v>604</v>
      </c>
    </row>
    <row r="3" spans="1:9" s="16" customFormat="1">
      <c r="A3" s="15" t="s">
        <v>45</v>
      </c>
      <c r="B3" s="16" t="s">
        <v>605</v>
      </c>
    </row>
    <row r="4" spans="1:9">
      <c r="A4" s="13" t="s">
        <v>2</v>
      </c>
      <c r="B4" s="14" t="s">
        <v>4</v>
      </c>
    </row>
    <row r="5" spans="1:9">
      <c r="A5" s="13" t="s">
        <v>46</v>
      </c>
    </row>
    <row r="6" spans="1:9">
      <c r="A6" s="13" t="s">
        <v>47</v>
      </c>
      <c r="B6" s="14">
        <v>3</v>
      </c>
    </row>
    <row r="7" spans="1:9">
      <c r="A7" s="13" t="s">
        <v>48</v>
      </c>
      <c r="B7" s="14" t="s">
        <v>520</v>
      </c>
    </row>
    <row r="8" spans="1:9">
      <c r="A8" s="13" t="s">
        <v>347</v>
      </c>
      <c r="B8" s="14" t="s">
        <v>606</v>
      </c>
    </row>
    <row r="9" spans="1:9">
      <c r="A9" s="17"/>
    </row>
    <row r="10" spans="1:9">
      <c r="A10" s="17" t="s">
        <v>49</v>
      </c>
      <c r="B10" s="18">
        <v>44196</v>
      </c>
      <c r="C10" s="18">
        <f>EOMONTH(B10,-3)</f>
        <v>44104</v>
      </c>
      <c r="D10" s="18">
        <f t="shared" ref="D10:I10" si="0">EOMONTH(C10,-3)</f>
        <v>44012</v>
      </c>
      <c r="E10" s="18">
        <f t="shared" si="0"/>
        <v>43921</v>
      </c>
      <c r="F10" s="18">
        <f t="shared" si="0"/>
        <v>43830</v>
      </c>
      <c r="G10" s="18">
        <f t="shared" si="0"/>
        <v>43738</v>
      </c>
      <c r="H10" s="18">
        <f t="shared" si="0"/>
        <v>43646</v>
      </c>
      <c r="I10" s="18">
        <f t="shared" si="0"/>
        <v>43555</v>
      </c>
    </row>
    <row r="12" spans="1:9">
      <c r="A12" s="19" t="s">
        <v>50</v>
      </c>
      <c r="B12" s="20">
        <v>0</v>
      </c>
      <c r="C12" s="20">
        <v>0</v>
      </c>
      <c r="D12" s="20">
        <v>0</v>
      </c>
      <c r="E12" s="20">
        <v>0</v>
      </c>
      <c r="F12" s="20">
        <v>0</v>
      </c>
      <c r="G12" s="20">
        <v>0</v>
      </c>
      <c r="H12" s="20">
        <v>0</v>
      </c>
      <c r="I12" s="20">
        <v>0</v>
      </c>
    </row>
    <row r="13" spans="1:9" s="21" customFormat="1">
      <c r="A13" s="21" t="s">
        <v>51</v>
      </c>
      <c r="B13" s="21" t="e">
        <f>+B12/F12-1</f>
        <v>#DIV/0!</v>
      </c>
      <c r="C13" s="21" t="e">
        <f>+C12/G12-1</f>
        <v>#DIV/0!</v>
      </c>
      <c r="D13" s="21" t="e">
        <f>+D12/H12-1</f>
        <v>#DIV/0!</v>
      </c>
      <c r="E13" s="21" t="e">
        <f>+E12/I12-1</f>
        <v>#DIV/0!</v>
      </c>
    </row>
    <row r="14" spans="1:9" s="24" customFormat="1">
      <c r="A14" s="22" t="s">
        <v>52</v>
      </c>
      <c r="B14" s="23" t="s">
        <v>3</v>
      </c>
      <c r="C14" s="23" t="s">
        <v>3</v>
      </c>
      <c r="D14" s="23" t="s">
        <v>3</v>
      </c>
      <c r="E14" s="23" t="s">
        <v>3</v>
      </c>
      <c r="F14" s="22"/>
      <c r="G14" s="22"/>
      <c r="H14" s="22"/>
      <c r="I14" s="22"/>
    </row>
    <row r="16" spans="1:9" s="17" customFormat="1">
      <c r="A16" s="25" t="s">
        <v>53</v>
      </c>
      <c r="B16" s="26">
        <v>0</v>
      </c>
      <c r="C16" s="26">
        <v>0</v>
      </c>
      <c r="D16" s="26">
        <v>0</v>
      </c>
      <c r="E16" s="26">
        <v>0</v>
      </c>
      <c r="F16" s="26">
        <v>0</v>
      </c>
      <c r="G16" s="26">
        <v>0</v>
      </c>
      <c r="H16" s="26">
        <v>0</v>
      </c>
      <c r="I16" s="26">
        <v>0</v>
      </c>
    </row>
    <row r="17" spans="1:9" s="21" customFormat="1">
      <c r="A17" s="21" t="s">
        <v>54</v>
      </c>
      <c r="B17" s="21" t="e">
        <f>+B16/B12</f>
        <v>#DIV/0!</v>
      </c>
      <c r="C17" s="21" t="e">
        <f t="shared" ref="C17:I17" si="1">+C16/C12</f>
        <v>#DIV/0!</v>
      </c>
      <c r="D17" s="21" t="e">
        <f t="shared" si="1"/>
        <v>#DIV/0!</v>
      </c>
      <c r="E17" s="21" t="e">
        <f t="shared" si="1"/>
        <v>#DIV/0!</v>
      </c>
      <c r="F17" s="21" t="e">
        <f t="shared" si="1"/>
        <v>#DIV/0!</v>
      </c>
      <c r="G17" s="21" t="e">
        <f t="shared" si="1"/>
        <v>#DIV/0!</v>
      </c>
      <c r="H17" s="21" t="e">
        <f t="shared" si="1"/>
        <v>#DIV/0!</v>
      </c>
      <c r="I17" s="21" t="e">
        <f t="shared" si="1"/>
        <v>#DIV/0!</v>
      </c>
    </row>
    <row r="18" spans="1:9" s="24" customFormat="1"/>
    <row r="19" spans="1:9" s="24" customFormat="1">
      <c r="A19" s="19" t="s">
        <v>55</v>
      </c>
      <c r="B19" s="20">
        <v>0</v>
      </c>
      <c r="C19" s="20">
        <v>0</v>
      </c>
      <c r="D19" s="20">
        <v>0</v>
      </c>
      <c r="E19" s="20">
        <v>0</v>
      </c>
      <c r="F19" s="20">
        <v>0</v>
      </c>
      <c r="G19" s="20">
        <v>0</v>
      </c>
      <c r="H19" s="20">
        <v>0</v>
      </c>
      <c r="I19" s="20">
        <v>0</v>
      </c>
    </row>
    <row r="20" spans="1:9" s="24" customFormat="1">
      <c r="A20" s="19" t="s">
        <v>56</v>
      </c>
      <c r="B20" s="20">
        <v>0</v>
      </c>
      <c r="C20" s="20">
        <v>0</v>
      </c>
      <c r="D20" s="20">
        <v>0</v>
      </c>
      <c r="E20" s="20">
        <v>0</v>
      </c>
      <c r="F20" s="20">
        <v>0</v>
      </c>
      <c r="G20" s="20">
        <v>0</v>
      </c>
      <c r="H20" s="20">
        <v>0</v>
      </c>
      <c r="I20" s="20">
        <v>0</v>
      </c>
    </row>
    <row r="21" spans="1:9" s="24" customFormat="1">
      <c r="A21" s="19" t="s">
        <v>57</v>
      </c>
      <c r="B21" s="20">
        <v>0</v>
      </c>
      <c r="C21" s="20">
        <v>0</v>
      </c>
      <c r="D21" s="20">
        <v>0</v>
      </c>
      <c r="E21" s="20">
        <v>0</v>
      </c>
      <c r="F21" s="20">
        <v>0</v>
      </c>
      <c r="G21" s="20">
        <v>0</v>
      </c>
      <c r="H21" s="20">
        <v>0</v>
      </c>
      <c r="I21" s="20">
        <v>0</v>
      </c>
    </row>
    <row r="22" spans="1:9" s="17" customFormat="1">
      <c r="A22" s="17" t="s">
        <v>58</v>
      </c>
      <c r="B22" s="27">
        <f>SUM(B16,B19:B21)</f>
        <v>0</v>
      </c>
      <c r="C22" s="27">
        <f t="shared" ref="C22:I22" si="2">SUM(C16,C19:C21)</f>
        <v>0</v>
      </c>
      <c r="D22" s="27">
        <f t="shared" si="2"/>
        <v>0</v>
      </c>
      <c r="E22" s="27">
        <f t="shared" si="2"/>
        <v>0</v>
      </c>
      <c r="F22" s="27">
        <f t="shared" si="2"/>
        <v>0</v>
      </c>
      <c r="G22" s="27">
        <f t="shared" si="2"/>
        <v>0</v>
      </c>
      <c r="H22" s="27">
        <f t="shared" si="2"/>
        <v>0</v>
      </c>
      <c r="I22" s="27">
        <f t="shared" si="2"/>
        <v>0</v>
      </c>
    </row>
    <row r="23" spans="1:9" s="17" customFormat="1">
      <c r="B23" s="27"/>
      <c r="C23" s="27"/>
      <c r="D23" s="27"/>
      <c r="E23" s="27"/>
      <c r="F23" s="27"/>
      <c r="G23" s="27"/>
      <c r="H23" s="27"/>
      <c r="I23" s="27"/>
    </row>
    <row r="24" spans="1:9" s="17" customFormat="1">
      <c r="A24" s="17" t="s">
        <v>59</v>
      </c>
      <c r="B24" s="27">
        <f>SUM(B22:E22)</f>
        <v>0</v>
      </c>
      <c r="C24" s="27">
        <f>SUM(C22:F22)</f>
        <v>0</v>
      </c>
      <c r="D24" s="27">
        <f>SUM(D22:G22)</f>
        <v>0</v>
      </c>
      <c r="E24" s="27">
        <f>SUM(E22:H22)</f>
        <v>0</v>
      </c>
      <c r="F24" s="27">
        <f>SUM(F22:I22)</f>
        <v>0</v>
      </c>
      <c r="G24" s="27"/>
      <c r="H24" s="27"/>
      <c r="I24" s="27"/>
    </row>
    <row r="25" spans="1:9" s="24" customFormat="1">
      <c r="A25" s="19" t="s">
        <v>60</v>
      </c>
      <c r="B25" s="28">
        <v>0</v>
      </c>
      <c r="C25" s="28">
        <v>0</v>
      </c>
      <c r="D25" s="28">
        <v>0</v>
      </c>
      <c r="E25" s="28">
        <v>0</v>
      </c>
      <c r="F25" s="28">
        <v>0</v>
      </c>
      <c r="G25" s="28">
        <v>0</v>
      </c>
      <c r="H25" s="28">
        <v>0</v>
      </c>
      <c r="I25" s="28">
        <v>0</v>
      </c>
    </row>
    <row r="26" spans="1:9" s="24" customFormat="1">
      <c r="A26" s="19" t="s">
        <v>61</v>
      </c>
      <c r="B26" s="29">
        <v>0</v>
      </c>
      <c r="C26" s="29">
        <v>0</v>
      </c>
      <c r="D26" s="29">
        <v>0</v>
      </c>
      <c r="E26" s="29">
        <v>0</v>
      </c>
      <c r="F26" s="29">
        <v>0</v>
      </c>
      <c r="G26" s="30"/>
      <c r="H26" s="30"/>
      <c r="I26" s="30"/>
    </row>
    <row r="27" spans="1:9" s="32" customFormat="1">
      <c r="A27" s="17" t="s">
        <v>62</v>
      </c>
      <c r="B27" s="27">
        <f>SUM(B24:B26)</f>
        <v>0</v>
      </c>
      <c r="C27" s="27">
        <f>SUM(C24:C26)</f>
        <v>0</v>
      </c>
      <c r="D27" s="27">
        <f>SUM(D24:D26)</f>
        <v>0</v>
      </c>
      <c r="E27" s="27">
        <f>SUM(E24:E26)</f>
        <v>0</v>
      </c>
      <c r="F27" s="27">
        <f>SUM(F24:F26)</f>
        <v>0</v>
      </c>
      <c r="G27" s="31"/>
      <c r="H27" s="31"/>
      <c r="I27" s="31"/>
    </row>
    <row r="28" spans="1:9" s="24" customFormat="1"/>
    <row r="29" spans="1:9" s="17" customFormat="1">
      <c r="A29" s="17" t="s">
        <v>58</v>
      </c>
      <c r="B29" s="27">
        <f t="shared" ref="B29:I29" si="3">B22</f>
        <v>0</v>
      </c>
      <c r="C29" s="27">
        <f t="shared" si="3"/>
        <v>0</v>
      </c>
      <c r="D29" s="27">
        <f t="shared" si="3"/>
        <v>0</v>
      </c>
      <c r="E29" s="27">
        <f t="shared" si="3"/>
        <v>0</v>
      </c>
      <c r="F29" s="27">
        <f t="shared" si="3"/>
        <v>0</v>
      </c>
      <c r="G29" s="27">
        <f t="shared" si="3"/>
        <v>0</v>
      </c>
      <c r="H29" s="27">
        <f t="shared" si="3"/>
        <v>0</v>
      </c>
      <c r="I29" s="27">
        <f t="shared" si="3"/>
        <v>0</v>
      </c>
    </row>
    <row r="30" spans="1:9" s="33" customFormat="1">
      <c r="A30" s="20" t="s">
        <v>63</v>
      </c>
      <c r="B30" s="20">
        <v>0</v>
      </c>
      <c r="C30" s="20">
        <v>0</v>
      </c>
      <c r="D30" s="20">
        <v>0</v>
      </c>
      <c r="E30" s="20">
        <v>0</v>
      </c>
      <c r="F30" s="20">
        <v>0</v>
      </c>
      <c r="G30" s="20">
        <v>0</v>
      </c>
      <c r="H30" s="20">
        <v>0</v>
      </c>
      <c r="I30" s="20">
        <v>0</v>
      </c>
    </row>
    <row r="31" spans="1:9" s="33" customFormat="1">
      <c r="A31" s="20" t="s">
        <v>64</v>
      </c>
      <c r="B31" s="20">
        <v>0</v>
      </c>
      <c r="C31" s="20">
        <v>0</v>
      </c>
      <c r="D31" s="20">
        <v>0</v>
      </c>
      <c r="E31" s="20">
        <v>0</v>
      </c>
      <c r="F31" s="20">
        <v>0</v>
      </c>
      <c r="G31" s="20">
        <v>0</v>
      </c>
      <c r="H31" s="20">
        <v>0</v>
      </c>
      <c r="I31" s="20">
        <v>0</v>
      </c>
    </row>
    <row r="32" spans="1:9" s="33" customFormat="1">
      <c r="A32" s="20" t="s">
        <v>65</v>
      </c>
      <c r="B32" s="20">
        <v>0</v>
      </c>
      <c r="C32" s="20">
        <v>0</v>
      </c>
      <c r="D32" s="20">
        <v>0</v>
      </c>
      <c r="E32" s="20">
        <v>0</v>
      </c>
      <c r="F32" s="20">
        <v>0</v>
      </c>
      <c r="G32" s="20">
        <v>0</v>
      </c>
      <c r="H32" s="20">
        <v>0</v>
      </c>
      <c r="I32" s="20">
        <v>0</v>
      </c>
    </row>
    <row r="33" spans="1:9" s="33" customFormat="1">
      <c r="A33" s="20" t="s">
        <v>66</v>
      </c>
      <c r="B33" s="20">
        <v>0</v>
      </c>
      <c r="C33" s="20">
        <v>0</v>
      </c>
      <c r="D33" s="20">
        <v>0</v>
      </c>
      <c r="E33" s="20">
        <v>0</v>
      </c>
      <c r="F33" s="20">
        <v>0</v>
      </c>
      <c r="G33" s="20">
        <v>0</v>
      </c>
      <c r="H33" s="20">
        <v>0</v>
      </c>
      <c r="I33" s="20">
        <v>0</v>
      </c>
    </row>
    <row r="34" spans="1:9" s="33" customFormat="1">
      <c r="A34" s="20" t="s">
        <v>57</v>
      </c>
      <c r="B34" s="29">
        <v>0</v>
      </c>
      <c r="C34" s="29">
        <v>0</v>
      </c>
      <c r="D34" s="29">
        <v>0</v>
      </c>
      <c r="E34" s="29">
        <v>0</v>
      </c>
      <c r="F34" s="29">
        <v>0</v>
      </c>
      <c r="G34" s="29">
        <v>0</v>
      </c>
      <c r="H34" s="29">
        <v>0</v>
      </c>
      <c r="I34" s="29">
        <v>0</v>
      </c>
    </row>
    <row r="35" spans="1:9" s="27" customFormat="1">
      <c r="A35" s="27" t="s">
        <v>67</v>
      </c>
      <c r="B35" s="27">
        <v>0</v>
      </c>
      <c r="C35" s="27">
        <v>0</v>
      </c>
      <c r="D35" s="27">
        <v>0</v>
      </c>
      <c r="E35" s="27">
        <v>0</v>
      </c>
      <c r="F35" s="27">
        <v>0</v>
      </c>
      <c r="G35" s="27">
        <v>0</v>
      </c>
      <c r="H35" s="27">
        <v>0</v>
      </c>
      <c r="I35" s="27">
        <v>0</v>
      </c>
    </row>
    <row r="36" spans="1:9" s="33" customFormat="1">
      <c r="A36" s="20" t="s">
        <v>68</v>
      </c>
      <c r="B36" s="29">
        <v>0</v>
      </c>
      <c r="C36" s="29">
        <v>0</v>
      </c>
      <c r="D36" s="29">
        <v>0</v>
      </c>
      <c r="E36" s="29">
        <v>0</v>
      </c>
      <c r="F36" s="29">
        <v>0</v>
      </c>
      <c r="G36" s="29">
        <v>0</v>
      </c>
      <c r="H36" s="29">
        <v>0</v>
      </c>
      <c r="I36" s="29">
        <v>0</v>
      </c>
    </row>
    <row r="37" spans="1:9" s="27" customFormat="1">
      <c r="A37" s="27" t="s">
        <v>69</v>
      </c>
      <c r="B37" s="27">
        <f>+B35+B36</f>
        <v>0</v>
      </c>
      <c r="C37" s="27">
        <f t="shared" ref="C37:I37" si="4">+C35+C36</f>
        <v>0</v>
      </c>
      <c r="D37" s="27">
        <f t="shared" si="4"/>
        <v>0</v>
      </c>
      <c r="E37" s="27">
        <f t="shared" si="4"/>
        <v>0</v>
      </c>
      <c r="F37" s="27">
        <f t="shared" si="4"/>
        <v>0</v>
      </c>
      <c r="G37" s="27">
        <f t="shared" si="4"/>
        <v>0</v>
      </c>
      <c r="H37" s="27">
        <f t="shared" si="4"/>
        <v>0</v>
      </c>
      <c r="I37" s="27">
        <f t="shared" si="4"/>
        <v>0</v>
      </c>
    </row>
    <row r="39" spans="1:9" s="35" customFormat="1">
      <c r="A39" s="34" t="s">
        <v>70</v>
      </c>
      <c r="B39" s="20">
        <v>0</v>
      </c>
      <c r="C39" s="20"/>
      <c r="D39" s="20"/>
      <c r="E39" s="20"/>
      <c r="F39" s="20"/>
      <c r="G39" s="20"/>
      <c r="H39" s="20"/>
      <c r="I39" s="20"/>
    </row>
    <row r="40" spans="1:9" s="35" customFormat="1">
      <c r="A40" s="34" t="s">
        <v>71</v>
      </c>
      <c r="B40" s="20">
        <v>1260</v>
      </c>
      <c r="C40" s="20"/>
      <c r="D40" s="20"/>
      <c r="E40" s="20"/>
      <c r="F40" s="20"/>
      <c r="G40" s="20"/>
      <c r="H40" s="20"/>
      <c r="I40" s="20"/>
    </row>
    <row r="41" spans="1:9" s="35" customFormat="1">
      <c r="A41" s="34" t="s">
        <v>72</v>
      </c>
      <c r="B41" s="20">
        <f>B39+B40+420</f>
        <v>1680</v>
      </c>
      <c r="C41" s="20"/>
      <c r="D41" s="20"/>
      <c r="E41" s="20"/>
      <c r="F41" s="20"/>
      <c r="G41" s="20"/>
      <c r="H41" s="20"/>
      <c r="I41" s="20"/>
    </row>
    <row r="42" spans="1:9" s="35" customFormat="1">
      <c r="A42" s="34" t="s">
        <v>73</v>
      </c>
      <c r="B42" s="36">
        <v>634</v>
      </c>
      <c r="C42" s="36"/>
      <c r="D42" s="36"/>
      <c r="E42" s="36"/>
      <c r="F42" s="36"/>
      <c r="G42" s="36"/>
      <c r="H42" s="36"/>
      <c r="I42" s="36"/>
    </row>
    <row r="43" spans="1:9">
      <c r="B43" s="35"/>
      <c r="C43" s="35"/>
      <c r="D43" s="35"/>
    </row>
    <row r="44" spans="1:9">
      <c r="A44" s="19" t="s">
        <v>74</v>
      </c>
      <c r="B44" s="28">
        <v>0</v>
      </c>
      <c r="C44" s="28"/>
      <c r="D44" s="28"/>
      <c r="E44" s="28"/>
      <c r="F44" s="28"/>
      <c r="G44" s="57"/>
      <c r="H44" s="57"/>
      <c r="I44" s="57"/>
    </row>
    <row r="46" spans="1:9">
      <c r="A46" s="14" t="s">
        <v>75</v>
      </c>
      <c r="B46" s="51">
        <v>3074</v>
      </c>
      <c r="C46" s="33"/>
      <c r="D46" s="33"/>
      <c r="E46" s="33"/>
      <c r="F46" s="33"/>
    </row>
    <row r="47" spans="1:9">
      <c r="A47" s="14" t="s">
        <v>76</v>
      </c>
      <c r="B47" s="51">
        <v>282</v>
      </c>
      <c r="C47" s="33"/>
      <c r="D47" s="33"/>
      <c r="E47" s="33"/>
      <c r="F47" s="33"/>
    </row>
    <row r="48" spans="1:9">
      <c r="A48" s="14" t="s">
        <v>77</v>
      </c>
      <c r="B48" s="51">
        <v>193</v>
      </c>
      <c r="C48" s="33"/>
      <c r="D48" s="33"/>
      <c r="E48" s="33"/>
      <c r="F48" s="33"/>
    </row>
    <row r="50" spans="1:9" s="37" customFormat="1">
      <c r="A50" s="37" t="s">
        <v>78</v>
      </c>
      <c r="B50" s="37">
        <f>+SUM(B39:B40)/B47</f>
        <v>4.4680851063829783</v>
      </c>
    </row>
    <row r="51" spans="1:9" s="37" customFormat="1">
      <c r="A51" s="37" t="s">
        <v>79</v>
      </c>
      <c r="B51" s="37">
        <f>+B41/B47</f>
        <v>5.957446808510638</v>
      </c>
    </row>
    <row r="52" spans="1:9" s="37" customFormat="1">
      <c r="A52" s="37" t="s">
        <v>80</v>
      </c>
      <c r="B52" s="37">
        <f>+(B41-B44)/B47</f>
        <v>5.957446808510638</v>
      </c>
    </row>
    <row r="53" spans="1:9" s="38" customFormat="1">
      <c r="A53" s="38" t="s">
        <v>81</v>
      </c>
      <c r="B53" s="38">
        <f>+B48/B41</f>
        <v>0.11488095238095238</v>
      </c>
    </row>
    <row r="54" spans="1:9" s="38" customFormat="1">
      <c r="A54" s="39" t="s">
        <v>82</v>
      </c>
      <c r="B54" s="40"/>
      <c r="C54" s="40"/>
      <c r="D54" s="40"/>
      <c r="E54" s="40"/>
      <c r="F54" s="40"/>
      <c r="G54" s="39"/>
      <c r="H54" s="39"/>
      <c r="I54" s="39"/>
    </row>
    <row r="55" spans="1:9" s="38" customFormat="1">
      <c r="A55" s="38" t="s">
        <v>83</v>
      </c>
      <c r="B55" s="41">
        <f>IF(B42=0,IF(B54="","","*"&amp;TEXT(B54,"0.0x")),(B41+B42-B44)/B47)</f>
        <v>8.2056737588652489</v>
      </c>
      <c r="C55" s="41"/>
      <c r="D55" s="41"/>
      <c r="E55" s="41"/>
      <c r="F55" s="41"/>
      <c r="G55" s="41"/>
      <c r="H55" s="41" t="str">
        <f>IF(H42=0,IF(H54="","",CONCATENATE("* ",H54,"x")),(H41+H42-H44)/H47)</f>
        <v/>
      </c>
      <c r="I55" s="41" t="str">
        <f>IF(I42=0,IF(I54="","",CONCATENATE("* ",I54,"x")),(I41+I42-I44)/I47)</f>
        <v/>
      </c>
    </row>
    <row r="56" spans="1:9">
      <c r="F56" s="42"/>
    </row>
    <row r="57" spans="1:9" ht="80.25" customHeight="1">
      <c r="A57" s="43" t="s">
        <v>84</v>
      </c>
      <c r="B57" s="44" t="s">
        <v>90</v>
      </c>
      <c r="C57" s="44"/>
      <c r="D57" s="44"/>
      <c r="E57" s="44"/>
      <c r="F57" s="44"/>
      <c r="G57" s="44"/>
      <c r="H57" s="44"/>
      <c r="I57" s="44"/>
    </row>
    <row r="58" spans="1:9">
      <c r="A58" s="45"/>
      <c r="B58" s="42"/>
    </row>
    <row r="59" spans="1:9">
      <c r="A59" s="45"/>
    </row>
  </sheetData>
  <pageMargins left="0.7" right="0.7" top="0.75" bottom="0.75" header="0.3" footer="0.3"/>
  <pageSetup orientation="portrait"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C1AC0-5674-44AC-AE5A-6968A4132741}">
  <dimension ref="A2:I59"/>
  <sheetViews>
    <sheetView showGridLines="0" zoomScaleNormal="100" workbookViewId="0">
      <pane xSplit="1" ySplit="10" topLeftCell="B11" activePane="bottomRight" state="frozen"/>
      <selection activeCell="B8" sqref="B8"/>
      <selection pane="topRight" activeCell="B8" sqref="B8"/>
      <selection pane="bottomLeft" activeCell="B8" sqref="B8"/>
      <selection pane="bottomRight" activeCell="B11" sqref="B11"/>
    </sheetView>
  </sheetViews>
  <sheetFormatPr defaultColWidth="9.109375" defaultRowHeight="13.8"/>
  <cols>
    <col min="1" max="1" width="22.6640625" style="14" customWidth="1"/>
    <col min="2" max="9" width="10.6640625" style="14" customWidth="1"/>
    <col min="10" max="16384" width="9.109375" style="14"/>
  </cols>
  <sheetData>
    <row r="2" spans="1:9">
      <c r="A2" s="13" t="s">
        <v>44</v>
      </c>
      <c r="B2" s="14" t="s">
        <v>611</v>
      </c>
    </row>
    <row r="3" spans="1:9" s="16" customFormat="1">
      <c r="A3" s="15" t="s">
        <v>45</v>
      </c>
      <c r="B3" s="16" t="s">
        <v>613</v>
      </c>
    </row>
    <row r="4" spans="1:9">
      <c r="A4" s="13" t="s">
        <v>2</v>
      </c>
      <c r="B4" s="14" t="s">
        <v>4</v>
      </c>
    </row>
    <row r="5" spans="1:9">
      <c r="A5" s="13" t="s">
        <v>46</v>
      </c>
    </row>
    <row r="6" spans="1:9">
      <c r="A6" s="13" t="s">
        <v>47</v>
      </c>
      <c r="B6" s="14">
        <v>3</v>
      </c>
    </row>
    <row r="7" spans="1:9">
      <c r="A7" s="13" t="s">
        <v>48</v>
      </c>
      <c r="B7" s="14" t="s">
        <v>520</v>
      </c>
    </row>
    <row r="8" spans="1:9">
      <c r="A8" s="13" t="s">
        <v>347</v>
      </c>
      <c r="B8" s="14" t="s">
        <v>392</v>
      </c>
    </row>
    <row r="9" spans="1:9">
      <c r="A9" s="17"/>
    </row>
    <row r="10" spans="1:9">
      <c r="A10" s="17" t="s">
        <v>49</v>
      </c>
      <c r="B10" s="18">
        <v>44196</v>
      </c>
      <c r="C10" s="18">
        <f>EOMONTH(B10,-3)</f>
        <v>44104</v>
      </c>
      <c r="D10" s="18">
        <f t="shared" ref="D10:I10" si="0">EOMONTH(C10,-3)</f>
        <v>44012</v>
      </c>
      <c r="E10" s="18">
        <f t="shared" si="0"/>
        <v>43921</v>
      </c>
      <c r="F10" s="18">
        <f t="shared" si="0"/>
        <v>43830</v>
      </c>
      <c r="G10" s="18">
        <f t="shared" si="0"/>
        <v>43738</v>
      </c>
      <c r="H10" s="18">
        <f t="shared" si="0"/>
        <v>43646</v>
      </c>
      <c r="I10" s="18">
        <f t="shared" si="0"/>
        <v>43555</v>
      </c>
    </row>
    <row r="12" spans="1:9">
      <c r="A12" s="19" t="s">
        <v>50</v>
      </c>
      <c r="B12" s="20">
        <v>0</v>
      </c>
      <c r="C12" s="20">
        <v>0</v>
      </c>
      <c r="D12" s="20">
        <v>0</v>
      </c>
      <c r="E12" s="20">
        <v>0</v>
      </c>
      <c r="F12" s="20">
        <v>0</v>
      </c>
      <c r="G12" s="20">
        <v>0</v>
      </c>
      <c r="H12" s="20">
        <v>0</v>
      </c>
      <c r="I12" s="20">
        <v>0</v>
      </c>
    </row>
    <row r="13" spans="1:9" s="21" customFormat="1">
      <c r="A13" s="21" t="s">
        <v>51</v>
      </c>
      <c r="B13" s="21" t="e">
        <f>+B12/F12-1</f>
        <v>#DIV/0!</v>
      </c>
      <c r="C13" s="21" t="e">
        <f>+C12/G12-1</f>
        <v>#DIV/0!</v>
      </c>
      <c r="D13" s="21" t="e">
        <f>+D12/H12-1</f>
        <v>#DIV/0!</v>
      </c>
      <c r="E13" s="21" t="e">
        <f>+E12/I12-1</f>
        <v>#DIV/0!</v>
      </c>
    </row>
    <row r="14" spans="1:9" s="24" customFormat="1">
      <c r="A14" s="22" t="s">
        <v>52</v>
      </c>
      <c r="B14" s="23" t="s">
        <v>3</v>
      </c>
      <c r="C14" s="23" t="s">
        <v>3</v>
      </c>
      <c r="D14" s="23" t="s">
        <v>3</v>
      </c>
      <c r="E14" s="23" t="s">
        <v>3</v>
      </c>
      <c r="F14" s="22"/>
      <c r="G14" s="22"/>
      <c r="H14" s="22"/>
      <c r="I14" s="22"/>
    </row>
    <row r="16" spans="1:9" s="17" customFormat="1">
      <c r="A16" s="25" t="s">
        <v>53</v>
      </c>
      <c r="B16" s="26">
        <v>0</v>
      </c>
      <c r="C16" s="26">
        <v>0</v>
      </c>
      <c r="D16" s="26">
        <v>0</v>
      </c>
      <c r="E16" s="26">
        <v>0</v>
      </c>
      <c r="F16" s="26">
        <v>0</v>
      </c>
      <c r="G16" s="26">
        <v>0</v>
      </c>
      <c r="H16" s="26">
        <v>0</v>
      </c>
      <c r="I16" s="26">
        <v>0</v>
      </c>
    </row>
    <row r="17" spans="1:9" s="21" customFormat="1">
      <c r="A17" s="21" t="s">
        <v>54</v>
      </c>
      <c r="B17" s="21" t="e">
        <f>+B16/B12</f>
        <v>#DIV/0!</v>
      </c>
      <c r="C17" s="21" t="e">
        <f t="shared" ref="C17:I17" si="1">+C16/C12</f>
        <v>#DIV/0!</v>
      </c>
      <c r="D17" s="21" t="e">
        <f t="shared" si="1"/>
        <v>#DIV/0!</v>
      </c>
      <c r="E17" s="21" t="e">
        <f t="shared" si="1"/>
        <v>#DIV/0!</v>
      </c>
      <c r="F17" s="21" t="e">
        <f t="shared" si="1"/>
        <v>#DIV/0!</v>
      </c>
      <c r="G17" s="21" t="e">
        <f t="shared" si="1"/>
        <v>#DIV/0!</v>
      </c>
      <c r="H17" s="21" t="e">
        <f t="shared" si="1"/>
        <v>#DIV/0!</v>
      </c>
      <c r="I17" s="21" t="e">
        <f t="shared" si="1"/>
        <v>#DIV/0!</v>
      </c>
    </row>
    <row r="18" spans="1:9" s="24" customFormat="1"/>
    <row r="19" spans="1:9" s="24" customFormat="1">
      <c r="A19" s="19" t="s">
        <v>55</v>
      </c>
      <c r="B19" s="20">
        <v>0</v>
      </c>
      <c r="C19" s="20">
        <v>0</v>
      </c>
      <c r="D19" s="20">
        <v>0</v>
      </c>
      <c r="E19" s="20">
        <v>0</v>
      </c>
      <c r="F19" s="20">
        <v>0</v>
      </c>
      <c r="G19" s="20">
        <v>0</v>
      </c>
      <c r="H19" s="20">
        <v>0</v>
      </c>
      <c r="I19" s="20">
        <v>0</v>
      </c>
    </row>
    <row r="20" spans="1:9" s="24" customFormat="1">
      <c r="A20" s="19" t="s">
        <v>56</v>
      </c>
      <c r="B20" s="20">
        <v>0</v>
      </c>
      <c r="C20" s="20">
        <v>0</v>
      </c>
      <c r="D20" s="20">
        <v>0</v>
      </c>
      <c r="E20" s="20">
        <v>0</v>
      </c>
      <c r="F20" s="20">
        <v>0</v>
      </c>
      <c r="G20" s="20">
        <v>0</v>
      </c>
      <c r="H20" s="20">
        <v>0</v>
      </c>
      <c r="I20" s="20">
        <v>0</v>
      </c>
    </row>
    <row r="21" spans="1:9" s="24" customFormat="1">
      <c r="A21" s="19" t="s">
        <v>57</v>
      </c>
      <c r="B21" s="20">
        <v>0</v>
      </c>
      <c r="C21" s="20">
        <v>0</v>
      </c>
      <c r="D21" s="20">
        <v>0</v>
      </c>
      <c r="E21" s="20">
        <v>0</v>
      </c>
      <c r="F21" s="20">
        <v>0</v>
      </c>
      <c r="G21" s="20">
        <v>0</v>
      </c>
      <c r="H21" s="20">
        <v>0</v>
      </c>
      <c r="I21" s="20">
        <v>0</v>
      </c>
    </row>
    <row r="22" spans="1:9" s="17" customFormat="1">
      <c r="A22" s="17" t="s">
        <v>58</v>
      </c>
      <c r="B22" s="27">
        <f>SUM(B16,B19:B21)</f>
        <v>0</v>
      </c>
      <c r="C22" s="27">
        <f t="shared" ref="C22:I22" si="2">SUM(C16,C19:C21)</f>
        <v>0</v>
      </c>
      <c r="D22" s="27">
        <f t="shared" si="2"/>
        <v>0</v>
      </c>
      <c r="E22" s="27">
        <f t="shared" si="2"/>
        <v>0</v>
      </c>
      <c r="F22" s="27">
        <f t="shared" si="2"/>
        <v>0</v>
      </c>
      <c r="G22" s="27">
        <f t="shared" si="2"/>
        <v>0</v>
      </c>
      <c r="H22" s="27">
        <f t="shared" si="2"/>
        <v>0</v>
      </c>
      <c r="I22" s="27">
        <f t="shared" si="2"/>
        <v>0</v>
      </c>
    </row>
    <row r="23" spans="1:9" s="17" customFormat="1">
      <c r="B23" s="27"/>
      <c r="C23" s="27"/>
      <c r="D23" s="27"/>
      <c r="E23" s="27"/>
      <c r="F23" s="27"/>
      <c r="G23" s="27"/>
      <c r="H23" s="27"/>
      <c r="I23" s="27"/>
    </row>
    <row r="24" spans="1:9" s="17" customFormat="1">
      <c r="A24" s="17" t="s">
        <v>59</v>
      </c>
      <c r="B24" s="27">
        <f>SUM(B22:E22)</f>
        <v>0</v>
      </c>
      <c r="C24" s="27">
        <f>SUM(C22:F22)</f>
        <v>0</v>
      </c>
      <c r="D24" s="27">
        <f>SUM(D22:G22)</f>
        <v>0</v>
      </c>
      <c r="E24" s="27">
        <f>SUM(E22:H22)</f>
        <v>0</v>
      </c>
      <c r="F24" s="27">
        <f>SUM(F22:I22)</f>
        <v>0</v>
      </c>
      <c r="G24" s="27"/>
      <c r="H24" s="27"/>
      <c r="I24" s="27"/>
    </row>
    <row r="25" spans="1:9" s="24" customFormat="1">
      <c r="A25" s="19" t="s">
        <v>60</v>
      </c>
      <c r="B25" s="28">
        <v>0</v>
      </c>
      <c r="C25" s="28">
        <v>0</v>
      </c>
      <c r="D25" s="28">
        <v>0</v>
      </c>
      <c r="E25" s="28">
        <v>0</v>
      </c>
      <c r="F25" s="28">
        <v>0</v>
      </c>
      <c r="G25" s="28">
        <v>0</v>
      </c>
      <c r="H25" s="28">
        <v>0</v>
      </c>
      <c r="I25" s="28">
        <v>0</v>
      </c>
    </row>
    <row r="26" spans="1:9" s="24" customFormat="1">
      <c r="A26" s="19" t="s">
        <v>61</v>
      </c>
      <c r="B26" s="29">
        <v>0</v>
      </c>
      <c r="C26" s="29">
        <v>0</v>
      </c>
      <c r="D26" s="29">
        <v>0</v>
      </c>
      <c r="E26" s="29">
        <v>0</v>
      </c>
      <c r="F26" s="29">
        <v>0</v>
      </c>
      <c r="G26" s="30"/>
      <c r="H26" s="30"/>
      <c r="I26" s="30"/>
    </row>
    <row r="27" spans="1:9" s="32" customFormat="1">
      <c r="A27" s="17" t="s">
        <v>62</v>
      </c>
      <c r="B27" s="27">
        <f>SUM(B24:B26)</f>
        <v>0</v>
      </c>
      <c r="C27" s="27">
        <f>SUM(C24:C26)</f>
        <v>0</v>
      </c>
      <c r="D27" s="27">
        <f>SUM(D24:D26)</f>
        <v>0</v>
      </c>
      <c r="E27" s="27">
        <f>SUM(E24:E26)</f>
        <v>0</v>
      </c>
      <c r="F27" s="27">
        <f>SUM(F24:F26)</f>
        <v>0</v>
      </c>
      <c r="G27" s="31"/>
      <c r="H27" s="31"/>
      <c r="I27" s="31"/>
    </row>
    <row r="28" spans="1:9" s="24" customFormat="1"/>
    <row r="29" spans="1:9" s="17" customFormat="1">
      <c r="A29" s="17" t="s">
        <v>58</v>
      </c>
      <c r="B29" s="27">
        <f t="shared" ref="B29:I29" si="3">B22</f>
        <v>0</v>
      </c>
      <c r="C29" s="27">
        <f t="shared" si="3"/>
        <v>0</v>
      </c>
      <c r="D29" s="27">
        <f t="shared" si="3"/>
        <v>0</v>
      </c>
      <c r="E29" s="27">
        <f t="shared" si="3"/>
        <v>0</v>
      </c>
      <c r="F29" s="27">
        <f t="shared" si="3"/>
        <v>0</v>
      </c>
      <c r="G29" s="27">
        <f t="shared" si="3"/>
        <v>0</v>
      </c>
      <c r="H29" s="27">
        <f t="shared" si="3"/>
        <v>0</v>
      </c>
      <c r="I29" s="27">
        <f t="shared" si="3"/>
        <v>0</v>
      </c>
    </row>
    <row r="30" spans="1:9" s="33" customFormat="1">
      <c r="A30" s="20" t="s">
        <v>63</v>
      </c>
      <c r="B30" s="20">
        <v>0</v>
      </c>
      <c r="C30" s="20">
        <v>0</v>
      </c>
      <c r="D30" s="20">
        <v>0</v>
      </c>
      <c r="E30" s="20">
        <v>0</v>
      </c>
      <c r="F30" s="20">
        <v>0</v>
      </c>
      <c r="G30" s="20">
        <v>0</v>
      </c>
      <c r="H30" s="20">
        <v>0</v>
      </c>
      <c r="I30" s="20">
        <v>0</v>
      </c>
    </row>
    <row r="31" spans="1:9" s="33" customFormat="1">
      <c r="A31" s="20" t="s">
        <v>64</v>
      </c>
      <c r="B31" s="20">
        <v>0</v>
      </c>
      <c r="C31" s="20">
        <v>0</v>
      </c>
      <c r="D31" s="20">
        <v>0</v>
      </c>
      <c r="E31" s="20">
        <v>0</v>
      </c>
      <c r="F31" s="20">
        <v>0</v>
      </c>
      <c r="G31" s="20">
        <v>0</v>
      </c>
      <c r="H31" s="20">
        <v>0</v>
      </c>
      <c r="I31" s="20">
        <v>0</v>
      </c>
    </row>
    <row r="32" spans="1:9" s="33" customFormat="1">
      <c r="A32" s="20" t="s">
        <v>65</v>
      </c>
      <c r="B32" s="20">
        <v>0</v>
      </c>
      <c r="C32" s="20">
        <v>0</v>
      </c>
      <c r="D32" s="20">
        <v>0</v>
      </c>
      <c r="E32" s="20">
        <v>0</v>
      </c>
      <c r="F32" s="20">
        <v>0</v>
      </c>
      <c r="G32" s="20">
        <v>0</v>
      </c>
      <c r="H32" s="20">
        <v>0</v>
      </c>
      <c r="I32" s="20">
        <v>0</v>
      </c>
    </row>
    <row r="33" spans="1:9" s="33" customFormat="1">
      <c r="A33" s="20" t="s">
        <v>66</v>
      </c>
      <c r="B33" s="20">
        <v>0</v>
      </c>
      <c r="C33" s="20">
        <v>0</v>
      </c>
      <c r="D33" s="20">
        <v>0</v>
      </c>
      <c r="E33" s="20">
        <v>0</v>
      </c>
      <c r="F33" s="20">
        <v>0</v>
      </c>
      <c r="G33" s="20">
        <v>0</v>
      </c>
      <c r="H33" s="20">
        <v>0</v>
      </c>
      <c r="I33" s="20">
        <v>0</v>
      </c>
    </row>
    <row r="34" spans="1:9" s="33" customFormat="1">
      <c r="A34" s="20" t="s">
        <v>57</v>
      </c>
      <c r="B34" s="29">
        <v>0</v>
      </c>
      <c r="C34" s="29">
        <v>0</v>
      </c>
      <c r="D34" s="29">
        <v>0</v>
      </c>
      <c r="E34" s="29">
        <v>0</v>
      </c>
      <c r="F34" s="29">
        <v>0</v>
      </c>
      <c r="G34" s="29">
        <v>0</v>
      </c>
      <c r="H34" s="29">
        <v>0</v>
      </c>
      <c r="I34" s="29">
        <v>0</v>
      </c>
    </row>
    <row r="35" spans="1:9" s="27" customFormat="1">
      <c r="A35" s="27" t="s">
        <v>67</v>
      </c>
      <c r="B35" s="27">
        <v>0</v>
      </c>
      <c r="C35" s="27">
        <v>0</v>
      </c>
      <c r="D35" s="27">
        <v>0</v>
      </c>
      <c r="E35" s="27">
        <v>0</v>
      </c>
      <c r="F35" s="27">
        <v>0</v>
      </c>
      <c r="G35" s="27">
        <v>0</v>
      </c>
      <c r="H35" s="27">
        <v>0</v>
      </c>
      <c r="I35" s="27">
        <v>0</v>
      </c>
    </row>
    <row r="36" spans="1:9" s="33" customFormat="1">
      <c r="A36" s="20" t="s">
        <v>68</v>
      </c>
      <c r="B36" s="29">
        <v>0</v>
      </c>
      <c r="C36" s="29">
        <v>0</v>
      </c>
      <c r="D36" s="29">
        <v>0</v>
      </c>
      <c r="E36" s="29">
        <v>0</v>
      </c>
      <c r="F36" s="29">
        <v>0</v>
      </c>
      <c r="G36" s="29">
        <v>0</v>
      </c>
      <c r="H36" s="29">
        <v>0</v>
      </c>
      <c r="I36" s="29">
        <v>0</v>
      </c>
    </row>
    <row r="37" spans="1:9" s="27" customFormat="1">
      <c r="A37" s="27" t="s">
        <v>69</v>
      </c>
      <c r="B37" s="27">
        <f>+B35+B36</f>
        <v>0</v>
      </c>
      <c r="C37" s="27">
        <f t="shared" ref="C37:I37" si="4">+C35+C36</f>
        <v>0</v>
      </c>
      <c r="D37" s="27">
        <f t="shared" si="4"/>
        <v>0</v>
      </c>
      <c r="E37" s="27">
        <f t="shared" si="4"/>
        <v>0</v>
      </c>
      <c r="F37" s="27">
        <f t="shared" si="4"/>
        <v>0</v>
      </c>
      <c r="G37" s="27">
        <f t="shared" si="4"/>
        <v>0</v>
      </c>
      <c r="H37" s="27">
        <f t="shared" si="4"/>
        <v>0</v>
      </c>
      <c r="I37" s="27">
        <f t="shared" si="4"/>
        <v>0</v>
      </c>
    </row>
    <row r="39" spans="1:9" s="35" customFormat="1">
      <c r="A39" s="34" t="s">
        <v>70</v>
      </c>
      <c r="B39" s="20">
        <v>0</v>
      </c>
      <c r="C39" s="20"/>
      <c r="D39" s="20"/>
      <c r="E39" s="20"/>
      <c r="F39" s="20"/>
      <c r="G39" s="20"/>
      <c r="H39" s="20"/>
      <c r="I39" s="20"/>
    </row>
    <row r="40" spans="1:9" s="35" customFormat="1">
      <c r="A40" s="34" t="s">
        <v>71</v>
      </c>
      <c r="B40" s="20">
        <v>525</v>
      </c>
      <c r="C40" s="20"/>
      <c r="D40" s="20"/>
      <c r="E40" s="20"/>
      <c r="F40" s="20"/>
      <c r="G40" s="20"/>
      <c r="H40" s="20"/>
      <c r="I40" s="20"/>
    </row>
    <row r="41" spans="1:9" s="35" customFormat="1">
      <c r="A41" s="34" t="s">
        <v>72</v>
      </c>
      <c r="B41" s="20">
        <f>B39+B40+110</f>
        <v>635</v>
      </c>
      <c r="C41" s="20"/>
      <c r="D41" s="20"/>
      <c r="E41" s="20"/>
      <c r="F41" s="20"/>
      <c r="G41" s="20"/>
      <c r="H41" s="20"/>
      <c r="I41" s="20"/>
    </row>
    <row r="42" spans="1:9" s="35" customFormat="1">
      <c r="A42" s="34" t="s">
        <v>73</v>
      </c>
      <c r="B42" s="36">
        <v>613</v>
      </c>
      <c r="C42" s="36"/>
      <c r="D42" s="36"/>
      <c r="E42" s="36"/>
      <c r="F42" s="36"/>
      <c r="G42" s="36"/>
      <c r="H42" s="36"/>
      <c r="I42" s="36"/>
    </row>
    <row r="43" spans="1:9">
      <c r="B43" s="35"/>
      <c r="C43" s="35"/>
      <c r="D43" s="35"/>
    </row>
    <row r="44" spans="1:9">
      <c r="A44" s="19" t="s">
        <v>74</v>
      </c>
      <c r="B44" s="28">
        <v>8</v>
      </c>
      <c r="C44" s="28"/>
      <c r="D44" s="28"/>
      <c r="E44" s="28"/>
      <c r="F44" s="28"/>
      <c r="G44" s="57"/>
      <c r="H44" s="57"/>
      <c r="I44" s="57"/>
    </row>
    <row r="46" spans="1:9">
      <c r="A46" s="14" t="s">
        <v>75</v>
      </c>
      <c r="B46" s="51">
        <v>487.5</v>
      </c>
      <c r="C46" s="33"/>
      <c r="D46" s="33"/>
      <c r="E46" s="33"/>
      <c r="F46" s="33"/>
    </row>
    <row r="47" spans="1:9">
      <c r="A47" s="14" t="s">
        <v>76</v>
      </c>
      <c r="B47" s="51">
        <v>84.2</v>
      </c>
      <c r="C47" s="33"/>
      <c r="D47" s="33"/>
      <c r="E47" s="33"/>
      <c r="F47" s="33"/>
    </row>
    <row r="48" spans="1:9">
      <c r="A48" s="14" t="s">
        <v>77</v>
      </c>
      <c r="B48" s="33"/>
      <c r="C48" s="33"/>
      <c r="D48" s="33"/>
      <c r="E48" s="33"/>
      <c r="F48" s="33"/>
    </row>
    <row r="50" spans="1:9" s="37" customFormat="1">
      <c r="A50" s="37" t="s">
        <v>78</v>
      </c>
      <c r="B50" s="37">
        <f>+SUM(B39:B40)/B47</f>
        <v>6.2351543942992871</v>
      </c>
    </row>
    <row r="51" spans="1:9" s="37" customFormat="1">
      <c r="A51" s="37" t="s">
        <v>79</v>
      </c>
      <c r="B51" s="37">
        <f>+B41/B47</f>
        <v>7.5415676959619953</v>
      </c>
    </row>
    <row r="52" spans="1:9" s="37" customFormat="1">
      <c r="A52" s="37" t="s">
        <v>80</v>
      </c>
      <c r="B52" s="37">
        <f>+(B41-B44)/B47</f>
        <v>7.4465558194774344</v>
      </c>
    </row>
    <row r="53" spans="1:9" s="38" customFormat="1">
      <c r="A53" s="38" t="s">
        <v>81</v>
      </c>
      <c r="B53" s="38">
        <f>+B48/B41</f>
        <v>0</v>
      </c>
    </row>
    <row r="54" spans="1:9" s="38" customFormat="1">
      <c r="A54" s="39" t="s">
        <v>82</v>
      </c>
      <c r="B54" s="40"/>
      <c r="C54" s="40"/>
      <c r="D54" s="40"/>
      <c r="E54" s="40"/>
      <c r="F54" s="40"/>
      <c r="G54" s="39"/>
      <c r="H54" s="39"/>
      <c r="I54" s="39"/>
    </row>
    <row r="55" spans="1:9" s="38" customFormat="1">
      <c r="A55" s="38" t="s">
        <v>83</v>
      </c>
      <c r="B55" s="41">
        <f>IF(B42=0,IF(B54="","","*"&amp;TEXT(B54,"0.0x")),(B41+B42-B44)/B47)</f>
        <v>14.726840855106888</v>
      </c>
      <c r="C55" s="41"/>
      <c r="D55" s="41"/>
      <c r="E55" s="41"/>
      <c r="F55" s="41"/>
      <c r="G55" s="41" t="str">
        <f>IF(G42=0,IF(G54="","",CONCATENATE("* ",G54,"x")),(G41+G42-G44)/G47)</f>
        <v/>
      </c>
      <c r="H55" s="41" t="str">
        <f>IF(H42=0,IF(H54="","",CONCATENATE("* ",H54,"x")),(H41+H42-H44)/H47)</f>
        <v/>
      </c>
      <c r="I55" s="41" t="str">
        <f>IF(I42=0,IF(I54="","",CONCATENATE("* ",I54,"x")),(I41+I42-I44)/I47)</f>
        <v/>
      </c>
    </row>
    <row r="56" spans="1:9">
      <c r="F56" s="42"/>
    </row>
    <row r="57" spans="1:9" ht="80.25" customHeight="1">
      <c r="A57" s="43" t="s">
        <v>84</v>
      </c>
      <c r="B57" s="44" t="s">
        <v>90</v>
      </c>
      <c r="C57" s="44"/>
      <c r="D57" s="44"/>
      <c r="E57" s="44"/>
      <c r="F57" s="44"/>
      <c r="G57" s="44"/>
      <c r="H57" s="44"/>
      <c r="I57" s="44"/>
    </row>
    <row r="58" spans="1:9">
      <c r="A58" s="45"/>
      <c r="B58" s="42"/>
    </row>
    <row r="59" spans="1:9">
      <c r="A59" s="4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108</vt:i4>
      </vt:variant>
    </vt:vector>
  </HeadingPairs>
  <TitlesOfParts>
    <vt:vector size="108" baseType="lpstr">
      <vt:lpstr>Sheet 1</vt:lpstr>
      <vt:lpstr>Wand Intermediate</vt:lpstr>
      <vt:lpstr>Airxcel, Inc.</vt:lpstr>
      <vt:lpstr>American Axle</vt:lpstr>
      <vt:lpstr>American Tire Distributors</vt:lpstr>
      <vt:lpstr>Astoria Energy</vt:lpstr>
      <vt:lpstr>Avolon</vt:lpstr>
      <vt:lpstr>Brand Energy</vt:lpstr>
      <vt:lpstr>Columbus Mckinnon</vt:lpstr>
      <vt:lpstr>Calpine Corp</vt:lpstr>
      <vt:lpstr>CPM Acquisition</vt:lpstr>
      <vt:lpstr>Crosby</vt:lpstr>
      <vt:lpstr>Culligan</vt:lpstr>
      <vt:lpstr>Dayton Power &amp; Light</vt:lpstr>
      <vt:lpstr>DXP Enterprises</vt:lpstr>
      <vt:lpstr>EOC Group</vt:lpstr>
      <vt:lpstr>Evoqua</vt:lpstr>
      <vt:lpstr>ExGen Renewables</vt:lpstr>
      <vt:lpstr>Federal-Mogul Corporation</vt:lpstr>
      <vt:lpstr>Filtration Group</vt:lpstr>
      <vt:lpstr>GFL Environmental</vt:lpstr>
      <vt:lpstr>GrafTech</vt:lpstr>
      <vt:lpstr>Gulf Finance</vt:lpstr>
      <vt:lpstr>Harsco</vt:lpstr>
      <vt:lpstr>HD Supply Waterworks</vt:lpstr>
      <vt:lpstr>Janus International</vt:lpstr>
      <vt:lpstr>K&amp;N Engineering</vt:lpstr>
      <vt:lpstr>KCA Deutag US Finance</vt:lpstr>
      <vt:lpstr>Lightstone Generation</vt:lpstr>
      <vt:lpstr>Linden Cogeneration</vt:lpstr>
      <vt:lpstr>Pike Corporation</vt:lpstr>
      <vt:lpstr>Power Buyer</vt:lpstr>
      <vt:lpstr>Quality Distribution</vt:lpstr>
      <vt:lpstr>Service King</vt:lpstr>
      <vt:lpstr>Southeast PowerGen</vt:lpstr>
      <vt:lpstr>TPF II Power</vt:lpstr>
      <vt:lpstr>TRC Companies</vt:lpstr>
      <vt:lpstr>United Site Services (USS)</vt:lpstr>
      <vt:lpstr>Vencore</vt:lpstr>
      <vt:lpstr>Vistra Energy</vt:lpstr>
      <vt:lpstr>Wheelabrator</vt:lpstr>
      <vt:lpstr>WireCo WorldGroup</vt:lpstr>
      <vt:lpstr>XPO Logistics</vt:lpstr>
      <vt:lpstr>Waste Industries</vt:lpstr>
      <vt:lpstr>MB Aerospace</vt:lpstr>
      <vt:lpstr>NRG Energy</vt:lpstr>
      <vt:lpstr>PSC Hydrochem</vt:lpstr>
      <vt:lpstr>Safe Fleet</vt:lpstr>
      <vt:lpstr>Aleris International</vt:lpstr>
      <vt:lpstr>BBB Industries</vt:lpstr>
      <vt:lpstr>Electrical Components</vt:lpstr>
      <vt:lpstr>Hunterstown</vt:lpstr>
      <vt:lpstr>Shape Technologies</vt:lpstr>
      <vt:lpstr>TI Group Auto</vt:lpstr>
      <vt:lpstr>Wastequip</vt:lpstr>
      <vt:lpstr>Boyd Corporation</vt:lpstr>
      <vt:lpstr>Westinghouse</vt:lpstr>
      <vt:lpstr>Tenneco</vt:lpstr>
      <vt:lpstr>PQ Corporation</vt:lpstr>
      <vt:lpstr>Atotech</vt:lpstr>
      <vt:lpstr>Accudyne Industries</vt:lpstr>
      <vt:lpstr>Casella Waste</vt:lpstr>
      <vt:lpstr>Dealer Tire</vt:lpstr>
      <vt:lpstr>Dixie Electric</vt:lpstr>
      <vt:lpstr>Doncasters</vt:lpstr>
      <vt:lpstr>Allison Transmission</vt:lpstr>
      <vt:lpstr>Aclara Technologies</vt:lpstr>
      <vt:lpstr>Birch Communications</vt:lpstr>
      <vt:lpstr>Huntsman International LLC</vt:lpstr>
      <vt:lpstr>Jeld-Wen</vt:lpstr>
      <vt:lpstr>Talen Energy</vt:lpstr>
      <vt:lpstr>Tekni-Plex</vt:lpstr>
      <vt:lpstr>Kymera International</vt:lpstr>
      <vt:lpstr>Husky International</vt:lpstr>
      <vt:lpstr>Garrett Advancing Motion</vt:lpstr>
      <vt:lpstr>Altra Industrial Motion</vt:lpstr>
      <vt:lpstr>United Rentals</vt:lpstr>
      <vt:lpstr>Distributed Power (GE)</vt:lpstr>
      <vt:lpstr>Plastipak</vt:lpstr>
      <vt:lpstr>C&amp;D Technologies</vt:lpstr>
      <vt:lpstr>StandardAero</vt:lpstr>
      <vt:lpstr>Caliber Collision</vt:lpstr>
      <vt:lpstr>Vantage Specialties</vt:lpstr>
      <vt:lpstr>Power Solutions</vt:lpstr>
      <vt:lpstr>Sundyne</vt:lpstr>
      <vt:lpstr>Blackstone CQP Holdco</vt:lpstr>
      <vt:lpstr>WestJet</vt:lpstr>
      <vt:lpstr>Advanced Drainage Systems</vt:lpstr>
      <vt:lpstr>APi Group</vt:lpstr>
      <vt:lpstr>Genesee &amp; Wyoming</vt:lpstr>
      <vt:lpstr>Cobham</vt:lpstr>
      <vt:lpstr>Thyssenkrupp Elevator</vt:lpstr>
      <vt:lpstr>Asplundh</vt:lpstr>
      <vt:lpstr>White Cap</vt:lpstr>
      <vt:lpstr>US LBM</vt:lpstr>
      <vt:lpstr>Truck Hero</vt:lpstr>
      <vt:lpstr>Protective Industrial Products</vt:lpstr>
      <vt:lpstr>Foundation Building Materials</vt:lpstr>
      <vt:lpstr>Flow Control Group</vt:lpstr>
      <vt:lpstr>First Brands Group</vt:lpstr>
      <vt:lpstr>Signature Aviation</vt:lpstr>
      <vt:lpstr>LaserShip Holdings, Inc.</vt:lpstr>
      <vt:lpstr>Cabinetworks</vt:lpstr>
      <vt:lpstr>Sabre Industries</vt:lpstr>
      <vt:lpstr>Fairbanks Morse Defense</vt:lpstr>
      <vt:lpstr>Atlantic Aviation</vt:lpstr>
      <vt:lpstr>Standard Industries</vt:lpstr>
      <vt:lpstr>&lt;Issuer Name&gt; (2)</vt:lpstr>
    </vt:vector>
  </TitlesOfParts>
  <Company>York Capital Management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Parikshit Marathe</dc:creator>
  <cp:lastModifiedBy>Diwakar Singh</cp:lastModifiedBy>
  <cp:lastPrinted>2017-10-12T17:58:57Z</cp:lastPrinted>
  <dcterms:created xsi:type="dcterms:W3CDTF">2017-09-26T16:57:38Z</dcterms:created>
  <dcterms:modified xsi:type="dcterms:W3CDTF">2021-09-06T06:18:27Z</dcterms:modified>
</cp:coreProperties>
</file>